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3.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omments4.xml" ContentType="application/vnd.openxmlformats-officedocument.spreadsheetml.comments+xml"/>
  <Override PartName="/xl/threadedComments/threadedComment1.xml" ContentType="application/vnd.ms-excel.threadedcomments+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style11.xml" ContentType="application/vnd.ms-office.chartstyle+xml"/>
  <Override PartName="/xl/charts/colors11.xml" ContentType="application/vnd.ms-office.chartcolorstyle+xml"/>
  <Override PartName="/xl/charts/chart30.xml" ContentType="application/vnd.openxmlformats-officedocument.drawingml.chart+xml"/>
  <Override PartName="/xl/charts/style12.xml" ContentType="application/vnd.ms-office.chartstyle+xml"/>
  <Override PartName="/xl/charts/colors12.xml" ContentType="application/vnd.ms-office.chartcolorstyle+xml"/>
  <Override PartName="/xl/charts/chart31.xml" ContentType="application/vnd.openxmlformats-officedocument.drawingml.chart+xml"/>
  <Override PartName="/xl/comments5.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13_ncr:1_{AD15CDFF-AC53-4B35-98CA-0A050B93C649}" xr6:coauthVersionLast="45" xr6:coauthVersionMax="45" xr10:uidLastSave="{00000000-0000-0000-0000-000000000000}"/>
  <bookViews>
    <workbookView xWindow="1200" yWindow="-20190" windowWidth="30870" windowHeight="17370"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59" r:id="rId14"/>
    <sheet name="RES" sheetId="60" r:id="rId15"/>
    <sheet name="ITEMS_COM" sheetId="39" r:id="rId16"/>
    <sheet name="COM" sheetId="58"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6" hidden="1">{"Sim",3,"Output 1","'Reworked data'!$AI$84","Output 2","'Reworked data'!$AJ$84","Output 3","'Reworked data'!$AK$84","1","2","100","0"}</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6"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43" i="57" l="1"/>
  <c r="P67" i="57"/>
  <c r="P134" i="57" l="1"/>
  <c r="E78" i="60" l="1"/>
  <c r="E20" i="57"/>
  <c r="M21" i="57"/>
  <c r="M20" i="57"/>
  <c r="M19" i="57"/>
  <c r="L21" i="57"/>
  <c r="L20" i="57"/>
  <c r="L19" i="57"/>
  <c r="K21" i="57"/>
  <c r="K20" i="57"/>
  <c r="K19" i="57"/>
  <c r="I21" i="57"/>
  <c r="I20" i="57"/>
  <c r="I19" i="57"/>
  <c r="F21" i="57"/>
  <c r="F20" i="57"/>
  <c r="F19" i="57"/>
  <c r="E21" i="57"/>
  <c r="E19" i="57"/>
  <c r="AD45" i="60" l="1"/>
  <c r="R45" i="60"/>
  <c r="AL24" i="60"/>
  <c r="AK24" i="60"/>
  <c r="AD24" i="60"/>
  <c r="Z24" i="60"/>
  <c r="Y24" i="60"/>
  <c r="R24" i="60"/>
  <c r="N24" i="60"/>
  <c r="M24" i="60"/>
  <c r="AK23" i="60"/>
  <c r="AG23" i="60"/>
  <c r="AF23" i="60"/>
  <c r="Y23" i="60"/>
  <c r="T23" i="60"/>
  <c r="M23" i="60"/>
  <c r="AN22" i="60"/>
  <c r="AM22" i="60"/>
  <c r="AC22" i="60"/>
  <c r="AB22" i="60"/>
  <c r="AA22" i="60"/>
  <c r="Q22" i="60"/>
  <c r="P22" i="60"/>
  <c r="O22" i="60"/>
  <c r="AN21" i="60"/>
  <c r="AN45" i="60" s="1"/>
  <c r="AM21" i="60"/>
  <c r="AM45" i="60" s="1"/>
  <c r="AL21" i="60"/>
  <c r="AL22" i="60" s="1"/>
  <c r="AK21" i="60"/>
  <c r="AK22" i="60" s="1"/>
  <c r="AJ21" i="60"/>
  <c r="AJ24" i="60" s="1"/>
  <c r="AI21" i="60"/>
  <c r="AI24" i="60" s="1"/>
  <c r="AH21" i="60"/>
  <c r="AH24" i="60" s="1"/>
  <c r="AG21" i="60"/>
  <c r="AG24" i="60" s="1"/>
  <c r="AF21" i="60"/>
  <c r="AF22" i="60" s="1"/>
  <c r="AE21" i="60"/>
  <c r="AE23" i="60" s="1"/>
  <c r="AD21" i="60"/>
  <c r="AD23" i="60" s="1"/>
  <c r="AC21" i="60"/>
  <c r="AC45" i="60" s="1"/>
  <c r="AB21" i="60"/>
  <c r="AB45" i="60" s="1"/>
  <c r="AA21" i="60"/>
  <c r="AA45" i="60" s="1"/>
  <c r="Z21" i="60"/>
  <c r="Z22" i="60" s="1"/>
  <c r="Y21" i="60"/>
  <c r="Y22" i="60" s="1"/>
  <c r="X21" i="60"/>
  <c r="X24" i="60" s="1"/>
  <c r="W21" i="60"/>
  <c r="W24" i="60" s="1"/>
  <c r="V21" i="60"/>
  <c r="V24" i="60" s="1"/>
  <c r="U21" i="60"/>
  <c r="U23" i="60" s="1"/>
  <c r="T21" i="60"/>
  <c r="T24" i="60" s="1"/>
  <c r="S21" i="60"/>
  <c r="S23" i="60" s="1"/>
  <c r="R21" i="60"/>
  <c r="R23" i="60" s="1"/>
  <c r="Q21" i="60"/>
  <c r="Q45" i="60" s="1"/>
  <c r="P21" i="60"/>
  <c r="P45" i="60" s="1"/>
  <c r="O21" i="60"/>
  <c r="O45" i="60" s="1"/>
  <c r="N21" i="60"/>
  <c r="N22" i="60" s="1"/>
  <c r="M21" i="60"/>
  <c r="M22" i="60" s="1"/>
  <c r="L21" i="60"/>
  <c r="L24" i="60" s="1"/>
  <c r="K21" i="60"/>
  <c r="K24" i="60" s="1"/>
  <c r="J21" i="60"/>
  <c r="J24" i="60" s="1"/>
  <c r="L22" i="60"/>
  <c r="K22" i="60"/>
  <c r="J22" i="60"/>
  <c r="A9" i="59"/>
  <c r="S45" i="60" l="1"/>
  <c r="AE45" i="60"/>
  <c r="J23" i="60"/>
  <c r="V23" i="60"/>
  <c r="AH23" i="60"/>
  <c r="O24" i="60"/>
  <c r="AA24" i="60"/>
  <c r="AM24" i="60"/>
  <c r="T45" i="60"/>
  <c r="AF45" i="60"/>
  <c r="R22" i="60"/>
  <c r="AD22" i="60"/>
  <c r="K23" i="60"/>
  <c r="W23" i="60"/>
  <c r="AI23" i="60"/>
  <c r="P24" i="60"/>
  <c r="AB24" i="60"/>
  <c r="AN24" i="60"/>
  <c r="U45" i="60"/>
  <c r="AG45" i="60"/>
  <c r="S22" i="60"/>
  <c r="AE22" i="60"/>
  <c r="L23" i="60"/>
  <c r="X23" i="60"/>
  <c r="X35" i="60" s="1"/>
  <c r="AJ23" i="60"/>
  <c r="Q24" i="60"/>
  <c r="AC24" i="60"/>
  <c r="J45" i="60"/>
  <c r="V45" i="60"/>
  <c r="AH45" i="60"/>
  <c r="T22" i="60"/>
  <c r="AI45" i="60"/>
  <c r="K45" i="60"/>
  <c r="U22" i="60"/>
  <c r="U37" i="60" s="1"/>
  <c r="AG22" i="60"/>
  <c r="N23" i="60"/>
  <c r="Z23" i="60"/>
  <c r="AL23" i="60"/>
  <c r="S24" i="60"/>
  <c r="AE24" i="60"/>
  <c r="L45" i="60"/>
  <c r="X45" i="60"/>
  <c r="AJ45" i="60"/>
  <c r="V22" i="60"/>
  <c r="AH22" i="60"/>
  <c r="O23" i="60"/>
  <c r="AA23" i="60"/>
  <c r="AM23" i="60"/>
  <c r="AF24" i="60"/>
  <c r="M45" i="60"/>
  <c r="Y45" i="60"/>
  <c r="AK45" i="60"/>
  <c r="W22" i="60"/>
  <c r="AI22" i="60"/>
  <c r="P23" i="60"/>
  <c r="AB23" i="60"/>
  <c r="AN23" i="60"/>
  <c r="U24" i="60"/>
  <c r="N45" i="60"/>
  <c r="Z45" i="60"/>
  <c r="AL45" i="60"/>
  <c r="X22" i="60"/>
  <c r="AJ22" i="60"/>
  <c r="Q23" i="60"/>
  <c r="AC23" i="60"/>
  <c r="W45" i="60"/>
  <c r="A1" i="60"/>
  <c r="J4" i="60"/>
  <c r="K4"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AN4" i="60"/>
  <c r="AN7" i="60" s="1"/>
  <c r="AO4" i="60"/>
  <c r="AO7" i="60" s="1"/>
  <c r="AP4" i="60"/>
  <c r="E5" i="60"/>
  <c r="F5" i="60"/>
  <c r="G5" i="60"/>
  <c r="H5" i="60"/>
  <c r="I5" i="60"/>
  <c r="J5" i="60"/>
  <c r="K5"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L5" i="60"/>
  <c r="AM5" i="60"/>
  <c r="AN5" i="60"/>
  <c r="AO5" i="60"/>
  <c r="AP5" i="60"/>
  <c r="AN6" i="60"/>
  <c r="AO6" i="60"/>
  <c r="AP6" i="60"/>
  <c r="AP7" i="60" s="1"/>
  <c r="O34" i="60"/>
  <c r="O37" i="60" s="1"/>
  <c r="AB19" i="60"/>
  <c r="AJ25" i="60"/>
  <c r="AJ18" i="60" s="1"/>
  <c r="AO24" i="60"/>
  <c r="M25" i="60"/>
  <c r="F22" i="60"/>
  <c r="V25" i="60"/>
  <c r="AB25" i="60"/>
  <c r="AH34" i="60"/>
  <c r="AH37" i="60" s="1"/>
  <c r="AL34" i="60"/>
  <c r="AL37" i="60" s="1"/>
  <c r="E23" i="60"/>
  <c r="H23" i="60"/>
  <c r="O35" i="60"/>
  <c r="O38" i="60" s="1"/>
  <c r="U35" i="60"/>
  <c r="U38" i="60" s="1"/>
  <c r="V18" i="60"/>
  <c r="AK35" i="60"/>
  <c r="AN35" i="60"/>
  <c r="AN38" i="60" s="1"/>
  <c r="G24" i="60"/>
  <c r="G36" i="60" s="1"/>
  <c r="H24" i="60"/>
  <c r="H36" i="60" s="1"/>
  <c r="I24" i="60"/>
  <c r="I36" i="60" s="1"/>
  <c r="J36" i="60"/>
  <c r="M19" i="60"/>
  <c r="U36" i="60"/>
  <c r="Y36" i="60"/>
  <c r="AG36" i="60"/>
  <c r="AK36" i="60"/>
  <c r="AL36" i="60"/>
  <c r="AN29" i="60"/>
  <c r="E33" i="60"/>
  <c r="F33" i="60"/>
  <c r="G33" i="60"/>
  <c r="H33" i="60"/>
  <c r="I33" i="60"/>
  <c r="B34" i="60"/>
  <c r="C34" i="60"/>
  <c r="C98" i="60" s="1"/>
  <c r="L34" i="60"/>
  <c r="L37" i="60" s="1"/>
  <c r="N34" i="60"/>
  <c r="N37" i="60" s="1"/>
  <c r="U34" i="60"/>
  <c r="X34" i="60"/>
  <c r="X37" i="60" s="1"/>
  <c r="Z34" i="60"/>
  <c r="AB34" i="60"/>
  <c r="AB37" i="60" s="1"/>
  <c r="B35" i="60"/>
  <c r="C35" i="60"/>
  <c r="J35" i="60"/>
  <c r="J38" i="60" s="1"/>
  <c r="L35" i="60"/>
  <c r="P35" i="60"/>
  <c r="P38" i="60" s="1"/>
  <c r="V35" i="60"/>
  <c r="AH35" i="60"/>
  <c r="AJ35" i="60"/>
  <c r="AJ38" i="60" s="1"/>
  <c r="B36" i="60"/>
  <c r="C36" i="60"/>
  <c r="N36" i="60"/>
  <c r="P36" i="60"/>
  <c r="X36" i="60"/>
  <c r="Z36" i="60"/>
  <c r="AB36" i="60"/>
  <c r="AJ36" i="60"/>
  <c r="AN36" i="60"/>
  <c r="B37" i="60"/>
  <c r="C37" i="60"/>
  <c r="Z37" i="60"/>
  <c r="B38" i="60"/>
  <c r="C38" i="60"/>
  <c r="L38" i="60"/>
  <c r="V38" i="60"/>
  <c r="E43" i="60"/>
  <c r="F43" i="60"/>
  <c r="F48" i="60" s="1"/>
  <c r="G43" i="60"/>
  <c r="G48" i="60" s="1"/>
  <c r="H43" i="60"/>
  <c r="H48" i="60" s="1"/>
  <c r="I43" i="60"/>
  <c r="E44" i="60"/>
  <c r="F49" i="60" s="1"/>
  <c r="F44" i="60"/>
  <c r="G44" i="60"/>
  <c r="H44" i="60"/>
  <c r="I44" i="60"/>
  <c r="E45" i="60"/>
  <c r="E66" i="60" s="1"/>
  <c r="G45" i="60"/>
  <c r="G68" i="60" s="1"/>
  <c r="H45" i="60"/>
  <c r="AO45" i="60"/>
  <c r="AP45" i="60" s="1"/>
  <c r="G49" i="60"/>
  <c r="H49" i="60"/>
  <c r="I49" i="60"/>
  <c r="B54" i="60"/>
  <c r="C54" i="60"/>
  <c r="B55" i="60"/>
  <c r="C55" i="60"/>
  <c r="C64" i="60" s="1"/>
  <c r="B56" i="60"/>
  <c r="C56" i="60"/>
  <c r="C65" i="60" s="1"/>
  <c r="B57" i="60"/>
  <c r="C57" i="60"/>
  <c r="C66" i="60" s="1"/>
  <c r="B58" i="60"/>
  <c r="C58" i="60"/>
  <c r="C67" i="60" s="1"/>
  <c r="B59" i="60"/>
  <c r="C59" i="60"/>
  <c r="C68" i="60" s="1"/>
  <c r="B60" i="60"/>
  <c r="C60" i="60"/>
  <c r="C69" i="60" s="1"/>
  <c r="C62" i="60"/>
  <c r="C63" i="60"/>
  <c r="K73" i="60"/>
  <c r="K80" i="60" s="1"/>
  <c r="E75" i="60"/>
  <c r="AB75" i="60" s="1"/>
  <c r="D92" i="60"/>
  <c r="D93" i="60"/>
  <c r="J97" i="60"/>
  <c r="L97" i="60"/>
  <c r="A99" i="60"/>
  <c r="B99" i="60"/>
  <c r="C99" i="60"/>
  <c r="D99" i="60"/>
  <c r="E99" i="60"/>
  <c r="F99" i="60"/>
  <c r="G99" i="60"/>
  <c r="H99" i="60"/>
  <c r="I99" i="60"/>
  <c r="J99" i="60"/>
  <c r="O99" i="60"/>
  <c r="A100" i="60"/>
  <c r="B100" i="60"/>
  <c r="C100" i="60"/>
  <c r="D100" i="60"/>
  <c r="J100" i="60"/>
  <c r="O100" i="60"/>
  <c r="A101" i="60"/>
  <c r="B101" i="60"/>
  <c r="C101" i="60"/>
  <c r="D101" i="60"/>
  <c r="BB101" i="60" s="1"/>
  <c r="J101" i="60"/>
  <c r="O101" i="60"/>
  <c r="A102" i="60"/>
  <c r="B102" i="60"/>
  <c r="C102" i="60"/>
  <c r="D102" i="60"/>
  <c r="J102" i="60"/>
  <c r="J81" i="60" s="1"/>
  <c r="J89" i="60" s="1"/>
  <c r="O102" i="60"/>
  <c r="A103" i="60"/>
  <c r="B103" i="60"/>
  <c r="C103" i="60"/>
  <c r="D103" i="60"/>
  <c r="J103" i="60"/>
  <c r="O103" i="60"/>
  <c r="A104" i="60"/>
  <c r="B104" i="60"/>
  <c r="C104" i="60"/>
  <c r="D104" i="60"/>
  <c r="J104" i="60"/>
  <c r="O104" i="60"/>
  <c r="A105" i="60"/>
  <c r="B105" i="60"/>
  <c r="C105" i="60"/>
  <c r="D105" i="60"/>
  <c r="BB105" i="60" s="1"/>
  <c r="J105" i="60"/>
  <c r="O105" i="60"/>
  <c r="A106" i="60"/>
  <c r="B106" i="60"/>
  <c r="C106" i="60"/>
  <c r="D106" i="60"/>
  <c r="J106" i="60"/>
  <c r="O106" i="60"/>
  <c r="A107" i="60"/>
  <c r="B107" i="60"/>
  <c r="C107" i="60"/>
  <c r="D107" i="60"/>
  <c r="J107" i="60"/>
  <c r="O107" i="60"/>
  <c r="A108" i="60"/>
  <c r="B108" i="60"/>
  <c r="C108" i="60"/>
  <c r="D108" i="60"/>
  <c r="J108" i="60"/>
  <c r="O108" i="60"/>
  <c r="A109" i="60"/>
  <c r="B109" i="60"/>
  <c r="C109" i="60"/>
  <c r="D109" i="60"/>
  <c r="J109" i="60"/>
  <c r="O109" i="60"/>
  <c r="A110" i="60"/>
  <c r="B110" i="60"/>
  <c r="C110" i="60"/>
  <c r="D110" i="60"/>
  <c r="BB110" i="60" s="1"/>
  <c r="J110" i="60"/>
  <c r="O110" i="60"/>
  <c r="A111" i="60"/>
  <c r="B111" i="60"/>
  <c r="C111" i="60"/>
  <c r="D111" i="60"/>
  <c r="J111" i="60"/>
  <c r="O111" i="60"/>
  <c r="A112" i="60"/>
  <c r="B112" i="60"/>
  <c r="C112" i="60"/>
  <c r="D112" i="60"/>
  <c r="J112" i="60"/>
  <c r="O112" i="60"/>
  <c r="A113" i="60"/>
  <c r="B113" i="60"/>
  <c r="C113" i="60"/>
  <c r="D113" i="60"/>
  <c r="D82" i="60" s="1"/>
  <c r="D90" i="60" s="1"/>
  <c r="J113" i="60"/>
  <c r="J82" i="60" s="1"/>
  <c r="J90" i="60" s="1"/>
  <c r="O113" i="60"/>
  <c r="A114" i="60"/>
  <c r="B114" i="60"/>
  <c r="C114" i="60"/>
  <c r="D114" i="60"/>
  <c r="J114" i="60"/>
  <c r="O114" i="60"/>
  <c r="A115" i="60"/>
  <c r="B115" i="60"/>
  <c r="C115" i="60"/>
  <c r="D115" i="60"/>
  <c r="BB115" i="60" s="1"/>
  <c r="J115" i="60"/>
  <c r="O115" i="60"/>
  <c r="A116" i="60"/>
  <c r="B116" i="60"/>
  <c r="C116" i="60"/>
  <c r="D116" i="60"/>
  <c r="BB116" i="60" s="1"/>
  <c r="J116" i="60"/>
  <c r="O116" i="60"/>
  <c r="A117" i="60"/>
  <c r="B117" i="60"/>
  <c r="C117" i="60"/>
  <c r="D117" i="60"/>
  <c r="BB117" i="60" s="1"/>
  <c r="J117" i="60"/>
  <c r="J84" i="60" s="1"/>
  <c r="J92" i="60" s="1"/>
  <c r="O117" i="60"/>
  <c r="A118" i="60"/>
  <c r="B118" i="60"/>
  <c r="C118" i="60"/>
  <c r="D118" i="60"/>
  <c r="J118" i="60"/>
  <c r="O118" i="60"/>
  <c r="A119" i="60"/>
  <c r="B119" i="60"/>
  <c r="C119" i="60"/>
  <c r="D119" i="60"/>
  <c r="J119" i="60"/>
  <c r="O119" i="60"/>
  <c r="A120" i="60"/>
  <c r="B120" i="60"/>
  <c r="C120" i="60"/>
  <c r="D120" i="60"/>
  <c r="J120" i="60"/>
  <c r="O120" i="60"/>
  <c r="A121" i="60"/>
  <c r="B121" i="60"/>
  <c r="C121" i="60"/>
  <c r="D121" i="60"/>
  <c r="J121" i="60"/>
  <c r="O121" i="60"/>
  <c r="A122" i="60"/>
  <c r="B122" i="60"/>
  <c r="C122" i="60"/>
  <c r="D122" i="60"/>
  <c r="J122" i="60"/>
  <c r="O122" i="60"/>
  <c r="A123" i="60"/>
  <c r="B123" i="60"/>
  <c r="C123" i="60"/>
  <c r="D123" i="60"/>
  <c r="D83" i="60" s="1"/>
  <c r="D91" i="60" s="1"/>
  <c r="J123" i="60"/>
  <c r="J83" i="60" s="1"/>
  <c r="J91" i="60" s="1"/>
  <c r="O123" i="60"/>
  <c r="A124" i="60"/>
  <c r="B124" i="60"/>
  <c r="C124" i="60"/>
  <c r="D124" i="60"/>
  <c r="J124" i="60"/>
  <c r="O124" i="60"/>
  <c r="A125" i="60"/>
  <c r="B125" i="60"/>
  <c r="C125" i="60"/>
  <c r="D125" i="60"/>
  <c r="J125" i="60"/>
  <c r="O125" i="60"/>
  <c r="A126" i="60"/>
  <c r="B126" i="60"/>
  <c r="C126" i="60"/>
  <c r="D126" i="60"/>
  <c r="J126" i="60"/>
  <c r="O126" i="60"/>
  <c r="A127" i="60"/>
  <c r="B127" i="60"/>
  <c r="C127" i="60"/>
  <c r="D127" i="60"/>
  <c r="J127" i="60"/>
  <c r="J85" i="60" s="1"/>
  <c r="J93" i="60" s="1"/>
  <c r="O127" i="60"/>
  <c r="A128" i="60"/>
  <c r="B128" i="60"/>
  <c r="C128" i="60"/>
  <c r="D128" i="60"/>
  <c r="J128" i="60"/>
  <c r="O128" i="60"/>
  <c r="B9" i="59"/>
  <c r="C9" i="59"/>
  <c r="D9" i="59"/>
  <c r="E9" i="59"/>
  <c r="F9" i="59"/>
  <c r="A10" i="59"/>
  <c r="B10" i="59"/>
  <c r="C10" i="59"/>
  <c r="D10" i="59"/>
  <c r="E10" i="59"/>
  <c r="F10" i="59"/>
  <c r="A11" i="59"/>
  <c r="B11" i="59"/>
  <c r="C11" i="59"/>
  <c r="D11" i="59"/>
  <c r="E11" i="59"/>
  <c r="F11" i="59"/>
  <c r="A12" i="59"/>
  <c r="B12" i="59"/>
  <c r="C12" i="59"/>
  <c r="D12" i="59"/>
  <c r="E12" i="59"/>
  <c r="F12" i="59"/>
  <c r="A13" i="59"/>
  <c r="B13" i="59"/>
  <c r="C13" i="59"/>
  <c r="D13" i="59"/>
  <c r="E13" i="59"/>
  <c r="F13" i="59"/>
  <c r="A14" i="59"/>
  <c r="B14" i="59"/>
  <c r="C14" i="59"/>
  <c r="D14" i="59"/>
  <c r="E14" i="59"/>
  <c r="F14" i="59"/>
  <c r="A15" i="59"/>
  <c r="B15" i="59"/>
  <c r="C15" i="59"/>
  <c r="D15" i="59"/>
  <c r="E15" i="59"/>
  <c r="F15" i="59"/>
  <c r="A16" i="59"/>
  <c r="B16" i="59"/>
  <c r="C16" i="59"/>
  <c r="D16" i="59"/>
  <c r="E16" i="59"/>
  <c r="F16" i="59"/>
  <c r="A17" i="59"/>
  <c r="B17" i="59"/>
  <c r="C17" i="59"/>
  <c r="D17" i="59"/>
  <c r="E17" i="59"/>
  <c r="F17" i="59"/>
  <c r="A18" i="59"/>
  <c r="B18" i="59"/>
  <c r="C18" i="59"/>
  <c r="D18" i="59"/>
  <c r="E18" i="59"/>
  <c r="F18" i="59"/>
  <c r="A19" i="59"/>
  <c r="B19" i="59"/>
  <c r="C19" i="59"/>
  <c r="D19" i="59"/>
  <c r="E19" i="59"/>
  <c r="F19" i="59"/>
  <c r="A20" i="59"/>
  <c r="B20" i="59"/>
  <c r="C20" i="59"/>
  <c r="D20" i="59"/>
  <c r="E20" i="59"/>
  <c r="F20" i="59"/>
  <c r="A21" i="59"/>
  <c r="B21" i="59"/>
  <c r="C21" i="59"/>
  <c r="D21" i="59"/>
  <c r="E21" i="59"/>
  <c r="F21" i="59"/>
  <c r="A22" i="59"/>
  <c r="B22" i="59"/>
  <c r="C22" i="59"/>
  <c r="D22" i="59"/>
  <c r="E22" i="59"/>
  <c r="F22" i="59"/>
  <c r="A23" i="59"/>
  <c r="B23" i="59"/>
  <c r="C23" i="59"/>
  <c r="D23" i="59"/>
  <c r="E23" i="59"/>
  <c r="F23" i="59"/>
  <c r="A24" i="59"/>
  <c r="B24" i="59"/>
  <c r="C24" i="59"/>
  <c r="D24" i="59"/>
  <c r="E24" i="59"/>
  <c r="F24" i="59"/>
  <c r="A25" i="59"/>
  <c r="B25" i="59"/>
  <c r="C25" i="59"/>
  <c r="D25" i="59"/>
  <c r="E25" i="59"/>
  <c r="F25" i="59"/>
  <c r="A26" i="59"/>
  <c r="B26" i="59"/>
  <c r="C26" i="59"/>
  <c r="D26" i="59"/>
  <c r="E26" i="59"/>
  <c r="F26" i="59"/>
  <c r="A27" i="59"/>
  <c r="B27" i="59"/>
  <c r="C27" i="59"/>
  <c r="D27" i="59"/>
  <c r="E27" i="59"/>
  <c r="F27" i="59"/>
  <c r="A28" i="59"/>
  <c r="B28" i="59"/>
  <c r="C28" i="59"/>
  <c r="D28" i="59"/>
  <c r="E28" i="59"/>
  <c r="F28" i="59"/>
  <c r="A29" i="59"/>
  <c r="B29" i="59"/>
  <c r="C29" i="59"/>
  <c r="D29" i="59"/>
  <c r="E29" i="59"/>
  <c r="F29" i="59"/>
  <c r="A30" i="59"/>
  <c r="B30" i="59"/>
  <c r="C30" i="59"/>
  <c r="D30" i="59"/>
  <c r="E30" i="59"/>
  <c r="F30" i="59"/>
  <c r="A31" i="59"/>
  <c r="B31" i="59"/>
  <c r="C31" i="59"/>
  <c r="D31" i="59"/>
  <c r="E31" i="59"/>
  <c r="F31" i="59"/>
  <c r="A32" i="59"/>
  <c r="B32" i="59"/>
  <c r="C32" i="59"/>
  <c r="D32" i="59"/>
  <c r="E32" i="59"/>
  <c r="F32" i="59"/>
  <c r="A33" i="59"/>
  <c r="B33" i="59"/>
  <c r="C33" i="59"/>
  <c r="D33" i="59"/>
  <c r="E33" i="59"/>
  <c r="F33" i="59"/>
  <c r="A34" i="59"/>
  <c r="B34" i="59"/>
  <c r="C34" i="59"/>
  <c r="D34" i="59"/>
  <c r="E34" i="59"/>
  <c r="F34" i="59"/>
  <c r="A35" i="59"/>
  <c r="B35" i="59"/>
  <c r="C35" i="59"/>
  <c r="D35" i="59"/>
  <c r="E35" i="59"/>
  <c r="F35" i="59"/>
  <c r="A36" i="59"/>
  <c r="B36" i="59"/>
  <c r="C36" i="59"/>
  <c r="D36" i="59"/>
  <c r="E36" i="59"/>
  <c r="F36" i="59"/>
  <c r="A37" i="59"/>
  <c r="B37" i="59"/>
  <c r="C37" i="59"/>
  <c r="D37" i="59"/>
  <c r="E37" i="59"/>
  <c r="F37" i="59"/>
  <c r="A38" i="59"/>
  <c r="B38" i="59"/>
  <c r="C38" i="59"/>
  <c r="D38" i="59"/>
  <c r="E38" i="59"/>
  <c r="F38" i="59"/>
  <c r="A39" i="59"/>
  <c r="B39" i="59"/>
  <c r="C39" i="59"/>
  <c r="D39" i="59"/>
  <c r="E39" i="59"/>
  <c r="F39" i="59"/>
  <c r="A40" i="59"/>
  <c r="B40" i="59"/>
  <c r="C40" i="59"/>
  <c r="D40" i="59"/>
  <c r="E40" i="59"/>
  <c r="F40" i="59"/>
  <c r="A41" i="59"/>
  <c r="B41" i="59"/>
  <c r="C41" i="59"/>
  <c r="D41" i="59"/>
  <c r="E41" i="59"/>
  <c r="F41" i="59"/>
  <c r="A42" i="59"/>
  <c r="B42" i="59"/>
  <c r="C42" i="59"/>
  <c r="D42" i="59"/>
  <c r="E42" i="59"/>
  <c r="F42" i="59"/>
  <c r="A43" i="59"/>
  <c r="B43" i="59"/>
  <c r="C43" i="59"/>
  <c r="D43" i="59"/>
  <c r="E43" i="59"/>
  <c r="F43" i="59"/>
  <c r="A44" i="59"/>
  <c r="B44" i="59"/>
  <c r="C44" i="59"/>
  <c r="D44" i="59"/>
  <c r="E44" i="59"/>
  <c r="F44" i="59"/>
  <c r="A45" i="59"/>
  <c r="B45" i="59"/>
  <c r="C45" i="59"/>
  <c r="D45" i="59"/>
  <c r="E45" i="59"/>
  <c r="F45" i="59"/>
  <c r="A46" i="59"/>
  <c r="B46" i="59"/>
  <c r="C46" i="59"/>
  <c r="D46" i="59"/>
  <c r="E46" i="59"/>
  <c r="F46" i="59"/>
  <c r="A47" i="59"/>
  <c r="B47" i="59"/>
  <c r="C47" i="59"/>
  <c r="D47" i="59"/>
  <c r="E47" i="59"/>
  <c r="F47" i="59"/>
  <c r="A48" i="59"/>
  <c r="B48" i="59"/>
  <c r="C48" i="59"/>
  <c r="D48" i="59"/>
  <c r="E48" i="59"/>
  <c r="F48" i="59"/>
  <c r="A49" i="59"/>
  <c r="B49" i="59"/>
  <c r="C49" i="59"/>
  <c r="D49" i="59"/>
  <c r="E49" i="59"/>
  <c r="F49" i="59"/>
  <c r="A50" i="59"/>
  <c r="B50" i="59"/>
  <c r="C50" i="59"/>
  <c r="D50" i="59"/>
  <c r="E50" i="59"/>
  <c r="F50" i="59"/>
  <c r="A51" i="59"/>
  <c r="B51" i="59"/>
  <c r="C51" i="59"/>
  <c r="D51" i="59"/>
  <c r="E51" i="59"/>
  <c r="F51" i="59"/>
  <c r="BB128" i="60" l="1"/>
  <c r="BB124" i="60"/>
  <c r="BB120" i="60"/>
  <c r="BB108" i="60"/>
  <c r="BB127" i="60"/>
  <c r="BB125" i="60"/>
  <c r="BB121" i="60"/>
  <c r="BB119" i="60"/>
  <c r="BB107" i="60"/>
  <c r="BB99" i="60"/>
  <c r="BB126" i="60"/>
  <c r="BB112" i="60"/>
  <c r="BB106" i="60"/>
  <c r="BB113" i="60"/>
  <c r="BB104" i="60"/>
  <c r="E82" i="47"/>
  <c r="E70" i="47"/>
  <c r="E81" i="47"/>
  <c r="E69" i="47"/>
  <c r="E80" i="47"/>
  <c r="E68" i="47"/>
  <c r="E79" i="47"/>
  <c r="E67" i="47"/>
  <c r="E78" i="47"/>
  <c r="E66" i="47"/>
  <c r="E62" i="47"/>
  <c r="E77" i="47"/>
  <c r="E65" i="47"/>
  <c r="E76" i="47"/>
  <c r="E64" i="47"/>
  <c r="E74" i="47"/>
  <c r="E71" i="47"/>
  <c r="E75" i="47"/>
  <c r="E63" i="47"/>
  <c r="E73" i="47"/>
  <c r="E72" i="47"/>
  <c r="BB122" i="60"/>
  <c r="BB118" i="60"/>
  <c r="BB109" i="60"/>
  <c r="BB114" i="60"/>
  <c r="BB103" i="60"/>
  <c r="E64" i="60"/>
  <c r="T35" i="60"/>
  <c r="T38" i="60" s="1"/>
  <c r="H65" i="60"/>
  <c r="H64" i="60"/>
  <c r="H69" i="60"/>
  <c r="H67" i="60"/>
  <c r="H68" i="60"/>
  <c r="AP24" i="60"/>
  <c r="AO36" i="60"/>
  <c r="AM35" i="60"/>
  <c r="AM38" i="60" s="1"/>
  <c r="AA34" i="60"/>
  <c r="AA37" i="60" s="1"/>
  <c r="I45" i="60"/>
  <c r="I50" i="60" s="1"/>
  <c r="M35" i="60"/>
  <c r="M38" i="60" s="1"/>
  <c r="AM36" i="60"/>
  <c r="O36" i="60"/>
  <c r="I22" i="60"/>
  <c r="Y34" i="60"/>
  <c r="Y37" i="60" s="1"/>
  <c r="AO21" i="60"/>
  <c r="AP21" i="60" s="1"/>
  <c r="M18" i="60"/>
  <c r="AB17" i="60"/>
  <c r="V34" i="60"/>
  <c r="V37" i="60" s="1"/>
  <c r="AF36" i="60"/>
  <c r="AB18" i="60"/>
  <c r="E76" i="60"/>
  <c r="AB76" i="60" s="1"/>
  <c r="AC76" i="60" s="1"/>
  <c r="AD76" i="60" s="1"/>
  <c r="AE76" i="60" s="1"/>
  <c r="AF76" i="60" s="1"/>
  <c r="AG76" i="60" s="1"/>
  <c r="AH76" i="60" s="1"/>
  <c r="AI76" i="60" s="1"/>
  <c r="AJ76" i="60" s="1"/>
  <c r="AK76" i="60" s="1"/>
  <c r="AL76" i="60" s="1"/>
  <c r="AM76" i="60" s="1"/>
  <c r="AN76" i="60" s="1"/>
  <c r="AO76" i="60" s="1"/>
  <c r="AP76" i="60" s="1"/>
  <c r="M36" i="60"/>
  <c r="AB35" i="60"/>
  <c r="AB38" i="60" s="1"/>
  <c r="M34" i="60"/>
  <c r="M37" i="60" s="1"/>
  <c r="E24" i="60"/>
  <c r="E36" i="60" s="1"/>
  <c r="G23" i="60"/>
  <c r="G35" i="60" s="1"/>
  <c r="T36" i="60"/>
  <c r="AF7" i="60"/>
  <c r="O84" i="60"/>
  <c r="O92" i="60" s="1"/>
  <c r="L6" i="60"/>
  <c r="L7" i="60" s="1"/>
  <c r="Y6" i="60"/>
  <c r="AL6" i="60"/>
  <c r="AL7" i="60" s="1"/>
  <c r="M6" i="60"/>
  <c r="Z6" i="60"/>
  <c r="AM6" i="60"/>
  <c r="O6" i="60"/>
  <c r="AB6" i="60"/>
  <c r="AB7" i="60" s="1"/>
  <c r="AG6" i="60"/>
  <c r="AG7" i="60" s="1"/>
  <c r="U6" i="60"/>
  <c r="U7" i="60" s="1"/>
  <c r="AI6" i="60"/>
  <c r="AI7" i="60" s="1"/>
  <c r="P6" i="60"/>
  <c r="Q6" i="60"/>
  <c r="R6" i="60"/>
  <c r="R7" i="60" s="1"/>
  <c r="S6" i="60"/>
  <c r="S7" i="60" s="1"/>
  <c r="W6" i="60"/>
  <c r="W7" i="60" s="1"/>
  <c r="AE6" i="60"/>
  <c r="AE7" i="60" s="1"/>
  <c r="AF6" i="60"/>
  <c r="AJ6" i="60"/>
  <c r="AJ7" i="60" s="1"/>
  <c r="AC6" i="60"/>
  <c r="AD6" i="60"/>
  <c r="AD7" i="60" s="1"/>
  <c r="BB123" i="60"/>
  <c r="O7" i="60"/>
  <c r="O83" i="60"/>
  <c r="O91" i="60" s="1"/>
  <c r="M97" i="60"/>
  <c r="L73" i="60"/>
  <c r="L80" i="60" s="1"/>
  <c r="J73" i="60"/>
  <c r="J80" i="60" s="1"/>
  <c r="J96" i="60"/>
  <c r="P119" i="60" s="1"/>
  <c r="AM7" i="60"/>
  <c r="P114" i="60"/>
  <c r="M81" i="47" s="1"/>
  <c r="Z7" i="60"/>
  <c r="O85" i="60"/>
  <c r="O93" i="60" s="1"/>
  <c r="O82" i="60"/>
  <c r="O90" i="60" s="1"/>
  <c r="AE35" i="60"/>
  <c r="AE38" i="60" s="1"/>
  <c r="E22" i="60"/>
  <c r="J25" i="60"/>
  <c r="G63" i="60"/>
  <c r="G65" i="60"/>
  <c r="G67" i="60"/>
  <c r="G66" i="60"/>
  <c r="G64" i="60"/>
  <c r="G69" i="60"/>
  <c r="L36" i="60"/>
  <c r="L25" i="60"/>
  <c r="L17" i="60" s="1"/>
  <c r="AF35" i="60"/>
  <c r="AF38" i="60" s="1"/>
  <c r="J34" i="60"/>
  <c r="J37" i="60" s="1"/>
  <c r="D81" i="60"/>
  <c r="D89" i="60" s="1"/>
  <c r="BB102" i="60"/>
  <c r="I48" i="60"/>
  <c r="Q34" i="60"/>
  <c r="Q37" i="60" s="1"/>
  <c r="AI36" i="60"/>
  <c r="AD34" i="60"/>
  <c r="AD37" i="60" s="1"/>
  <c r="AC7" i="60"/>
  <c r="J74" i="60"/>
  <c r="J77" i="60" s="1"/>
  <c r="H63" i="60"/>
  <c r="P7" i="60"/>
  <c r="H35" i="60"/>
  <c r="H38" i="60" s="1"/>
  <c r="AG35" i="60"/>
  <c r="AG38" i="60" s="1"/>
  <c r="AG25" i="60"/>
  <c r="AG19" i="60" s="1"/>
  <c r="AC75" i="60"/>
  <c r="AD75" i="60" s="1"/>
  <c r="AE75" i="60" s="1"/>
  <c r="AF75" i="60" s="1"/>
  <c r="AG75" i="60" s="1"/>
  <c r="AH75" i="60" s="1"/>
  <c r="AI75" i="60" s="1"/>
  <c r="AJ75" i="60" s="1"/>
  <c r="AK75" i="60" s="1"/>
  <c r="AL75" i="60" s="1"/>
  <c r="AM75" i="60" s="1"/>
  <c r="AN75" i="60" s="1"/>
  <c r="AO75" i="60" s="1"/>
  <c r="AP75" i="60" s="1"/>
  <c r="H66" i="60"/>
  <c r="H50" i="60"/>
  <c r="F34" i="60"/>
  <c r="F37" i="60" s="1"/>
  <c r="AJ19" i="60"/>
  <c r="S36" i="60"/>
  <c r="AC34" i="60"/>
  <c r="AC37" i="60" s="1"/>
  <c r="P34" i="60"/>
  <c r="P37" i="60" s="1"/>
  <c r="P25" i="60"/>
  <c r="P18" i="60" s="1"/>
  <c r="AL35" i="60"/>
  <c r="AL38" i="60" s="1"/>
  <c r="AJ34" i="60"/>
  <c r="AJ37" i="60" s="1"/>
  <c r="U25" i="60"/>
  <c r="U17" i="60" s="1"/>
  <c r="AK38" i="60"/>
  <c r="E35" i="60"/>
  <c r="E38" i="60" s="1"/>
  <c r="E63" i="60"/>
  <c r="E67" i="60"/>
  <c r="E68" i="60"/>
  <c r="E69" i="60"/>
  <c r="AH36" i="60"/>
  <c r="S35" i="60"/>
  <c r="S38" i="60" s="1"/>
  <c r="AO29" i="60"/>
  <c r="AP29" i="60" s="1"/>
  <c r="Q7" i="60"/>
  <c r="Q35" i="60"/>
  <c r="Q38" i="60" s="1"/>
  <c r="M17" i="60"/>
  <c r="U18" i="60"/>
  <c r="AN30" i="60"/>
  <c r="AO30" i="60" s="1"/>
  <c r="AP30" i="60" s="1"/>
  <c r="O74" i="60"/>
  <c r="O81" i="60"/>
  <c r="O89" i="60" s="1"/>
  <c r="AH38" i="60"/>
  <c r="AJ17" i="60"/>
  <c r="V17" i="60"/>
  <c r="E65" i="60"/>
  <c r="G38" i="60"/>
  <c r="AH25" i="60"/>
  <c r="AH18" i="60" s="1"/>
  <c r="AP36" i="60"/>
  <c r="L18" i="60"/>
  <c r="AD25" i="60"/>
  <c r="AD17" i="60" s="1"/>
  <c r="F45" i="60"/>
  <c r="R25" i="60"/>
  <c r="R17" i="60" s="1"/>
  <c r="AL19" i="60"/>
  <c r="V36" i="60"/>
  <c r="V19" i="60"/>
  <c r="AG34" i="60"/>
  <c r="AG37" i="60" s="1"/>
  <c r="X25" i="60"/>
  <c r="X38" i="60"/>
  <c r="AE34" i="60"/>
  <c r="AE37" i="60" s="1"/>
  <c r="R34" i="60"/>
  <c r="R37" i="60"/>
  <c r="J6" i="60"/>
  <c r="J7" i="60" s="1"/>
  <c r="V6" i="60"/>
  <c r="V7" i="60" s="1"/>
  <c r="AH6" i="60"/>
  <c r="AH7" i="60" s="1"/>
  <c r="I23" i="60"/>
  <c r="G22" i="60"/>
  <c r="T6" i="60"/>
  <c r="T7" i="60" s="1"/>
  <c r="Y7" i="60"/>
  <c r="M7" i="60"/>
  <c r="AO23" i="60"/>
  <c r="N25" i="60"/>
  <c r="N18" i="60" s="1"/>
  <c r="AA6" i="60"/>
  <c r="AA7" i="60" s="1"/>
  <c r="N6" i="60"/>
  <c r="N7" i="60" s="1"/>
  <c r="N35" i="60"/>
  <c r="N38" i="60" s="1"/>
  <c r="Z25" i="60"/>
  <c r="Z35" i="60"/>
  <c r="Z38" i="60"/>
  <c r="H22" i="60"/>
  <c r="AL25" i="60"/>
  <c r="AL17" i="60" s="1"/>
  <c r="O25" i="60"/>
  <c r="O19" i="60" s="1"/>
  <c r="AK6" i="60"/>
  <c r="AK7" i="60" s="1"/>
  <c r="X6" i="60"/>
  <c r="X7" i="60" s="1"/>
  <c r="K6" i="60"/>
  <c r="K7" i="60" s="1"/>
  <c r="L63" i="47" l="1"/>
  <c r="G63" i="47"/>
  <c r="P116" i="60"/>
  <c r="M79" i="47" s="1"/>
  <c r="L75" i="47"/>
  <c r="G75" i="47"/>
  <c r="G68" i="47"/>
  <c r="L68" i="47"/>
  <c r="G79" i="47"/>
  <c r="L79" i="47"/>
  <c r="G71" i="47"/>
  <c r="L71" i="47"/>
  <c r="L80" i="47"/>
  <c r="G80" i="47"/>
  <c r="G74" i="47"/>
  <c r="L74" i="47"/>
  <c r="L76" i="47"/>
  <c r="G76" i="47"/>
  <c r="G70" i="47"/>
  <c r="L70" i="47"/>
  <c r="G81" i="47"/>
  <c r="L81" i="47"/>
  <c r="L65" i="47"/>
  <c r="G65" i="47"/>
  <c r="G82" i="47"/>
  <c r="L82" i="47"/>
  <c r="G69" i="47"/>
  <c r="L69" i="47"/>
  <c r="P108" i="60"/>
  <c r="L77" i="47"/>
  <c r="G77" i="47"/>
  <c r="L64" i="47"/>
  <c r="G64" i="47"/>
  <c r="P124" i="60"/>
  <c r="M67" i="47" s="1"/>
  <c r="G62" i="47"/>
  <c r="L62" i="47"/>
  <c r="P118" i="60"/>
  <c r="Q118" i="60" s="1"/>
  <c r="R118" i="60" s="1"/>
  <c r="S118" i="60" s="1"/>
  <c r="T118" i="60" s="1"/>
  <c r="U118" i="60" s="1"/>
  <c r="V118" i="60" s="1"/>
  <c r="W118" i="60" s="1"/>
  <c r="X118" i="60" s="1"/>
  <c r="Y118" i="60" s="1"/>
  <c r="Z118" i="60" s="1"/>
  <c r="AA118" i="60" s="1"/>
  <c r="AB118" i="60" s="1"/>
  <c r="AC118" i="60" s="1"/>
  <c r="AD118" i="60" s="1"/>
  <c r="AE118" i="60" s="1"/>
  <c r="AF118" i="60" s="1"/>
  <c r="AG118" i="60" s="1"/>
  <c r="AH118" i="60" s="1"/>
  <c r="AI118" i="60" s="1"/>
  <c r="AJ118" i="60" s="1"/>
  <c r="AK118" i="60" s="1"/>
  <c r="AL118" i="60" s="1"/>
  <c r="AM118" i="60" s="1"/>
  <c r="AN118" i="60" s="1"/>
  <c r="AO118" i="60" s="1"/>
  <c r="AP118" i="60" s="1"/>
  <c r="L66" i="47"/>
  <c r="G66" i="47"/>
  <c r="G72" i="47"/>
  <c r="L72" i="47"/>
  <c r="L78" i="47"/>
  <c r="G78" i="47"/>
  <c r="L73" i="47"/>
  <c r="G73" i="47"/>
  <c r="L67" i="47"/>
  <c r="G67" i="47"/>
  <c r="O17" i="60"/>
  <c r="I66" i="60"/>
  <c r="AN66" i="60" s="1"/>
  <c r="AO66" i="60" s="1"/>
  <c r="AP66" i="60" s="1"/>
  <c r="I65" i="60"/>
  <c r="AN65" i="60" s="1"/>
  <c r="AO65" i="60" s="1"/>
  <c r="AP65" i="60" s="1"/>
  <c r="I63" i="60"/>
  <c r="AN63" i="60" s="1"/>
  <c r="AO63" i="60" s="1"/>
  <c r="AP63" i="60" s="1"/>
  <c r="I68" i="60"/>
  <c r="AN68" i="60" s="1"/>
  <c r="AO68" i="60" s="1"/>
  <c r="AP68" i="60" s="1"/>
  <c r="I64" i="60"/>
  <c r="AN64" i="60" s="1"/>
  <c r="AO64" i="60" s="1"/>
  <c r="AP64" i="60" s="1"/>
  <c r="AG17" i="60"/>
  <c r="I46" i="60"/>
  <c r="H46" i="60" s="1"/>
  <c r="L19" i="60"/>
  <c r="AM25" i="60"/>
  <c r="U19" i="60"/>
  <c r="AA35" i="60"/>
  <c r="AA38" i="60" s="1"/>
  <c r="AA36" i="60"/>
  <c r="I69" i="60"/>
  <c r="AN69" i="60" s="1"/>
  <c r="AO69" i="60" s="1"/>
  <c r="AP69" i="60" s="1"/>
  <c r="I67" i="60"/>
  <c r="AN67" i="60" s="1"/>
  <c r="AO67" i="60" s="1"/>
  <c r="AP67" i="60" s="1"/>
  <c r="AG18" i="60"/>
  <c r="AA25" i="60"/>
  <c r="AA17" i="60" s="1"/>
  <c r="AL18" i="60"/>
  <c r="AN34" i="60"/>
  <c r="AN37" i="60" s="1"/>
  <c r="AN25" i="60"/>
  <c r="AO22" i="60"/>
  <c r="O18" i="60"/>
  <c r="AM34" i="60"/>
  <c r="AM37" i="60" s="1"/>
  <c r="H34" i="60"/>
  <c r="H37" i="60" s="1"/>
  <c r="H25" i="60"/>
  <c r="H31" i="60"/>
  <c r="S34" i="60"/>
  <c r="S25" i="60"/>
  <c r="S17" i="60" s="1"/>
  <c r="S37" i="60"/>
  <c r="AL64" i="60"/>
  <c r="AM64" i="60" s="1"/>
  <c r="AL68" i="60"/>
  <c r="AM68" i="60" s="1"/>
  <c r="AL63" i="60"/>
  <c r="AM63" i="60" s="1"/>
  <c r="AL29" i="60"/>
  <c r="AM29" i="60" s="1"/>
  <c r="AL30" i="60"/>
  <c r="AM30" i="60" s="1"/>
  <c r="AL69" i="60"/>
  <c r="AM69" i="60" s="1"/>
  <c r="AL67" i="60"/>
  <c r="AM67" i="60" s="1"/>
  <c r="AL66" i="60"/>
  <c r="AL65" i="60"/>
  <c r="M30" i="60"/>
  <c r="N30" i="60" s="1"/>
  <c r="O30" i="60" s="1"/>
  <c r="P30" i="60" s="1"/>
  <c r="Q30" i="60" s="1"/>
  <c r="AH17" i="60"/>
  <c r="AH19" i="60"/>
  <c r="P17" i="60"/>
  <c r="P19" i="60"/>
  <c r="AM65" i="60"/>
  <c r="AM66" i="60"/>
  <c r="E34" i="60"/>
  <c r="E37" i="60" s="1"/>
  <c r="E25" i="60"/>
  <c r="E31" i="60" s="1"/>
  <c r="X17" i="60"/>
  <c r="X19" i="60"/>
  <c r="X18" i="60"/>
  <c r="AF34" i="60"/>
  <c r="AF37" i="60" s="1"/>
  <c r="AF25" i="60"/>
  <c r="AF17" i="60" s="1"/>
  <c r="AK25" i="60"/>
  <c r="AK34" i="60"/>
  <c r="AK37" i="60" s="1"/>
  <c r="Q36" i="60"/>
  <c r="Q25" i="60"/>
  <c r="Q19" i="60" s="1"/>
  <c r="R36" i="60"/>
  <c r="F24" i="60"/>
  <c r="R19" i="60"/>
  <c r="AB30" i="60"/>
  <c r="AB64" i="60"/>
  <c r="AB65" i="60"/>
  <c r="AB66" i="60"/>
  <c r="AC66" i="60" s="1"/>
  <c r="AD66" i="60" s="1"/>
  <c r="AE66" i="60" s="1"/>
  <c r="AF66" i="60" s="1"/>
  <c r="AG66" i="60" s="1"/>
  <c r="AH66" i="60" s="1"/>
  <c r="AI66" i="60" s="1"/>
  <c r="AJ66" i="60" s="1"/>
  <c r="AK66" i="60" s="1"/>
  <c r="AB67" i="60"/>
  <c r="AC67" i="60" s="1"/>
  <c r="AD67" i="60" s="1"/>
  <c r="AE67" i="60" s="1"/>
  <c r="AF67" i="60" s="1"/>
  <c r="AG67" i="60" s="1"/>
  <c r="AH67" i="60" s="1"/>
  <c r="AI67" i="60" s="1"/>
  <c r="AJ67" i="60" s="1"/>
  <c r="AK67" i="60" s="1"/>
  <c r="AB63" i="60"/>
  <c r="AC63" i="60" s="1"/>
  <c r="AD63" i="60" s="1"/>
  <c r="AE63" i="60" s="1"/>
  <c r="AF63" i="60" s="1"/>
  <c r="AG63" i="60" s="1"/>
  <c r="AH63" i="60" s="1"/>
  <c r="AI63" i="60" s="1"/>
  <c r="AJ63" i="60" s="1"/>
  <c r="AK63" i="60" s="1"/>
  <c r="AB29" i="60"/>
  <c r="AC29" i="60" s="1"/>
  <c r="AD29" i="60" s="1"/>
  <c r="AE29" i="60" s="1"/>
  <c r="AF29" i="60" s="1"/>
  <c r="AG29" i="60" s="1"/>
  <c r="AH29" i="60" s="1"/>
  <c r="AI29" i="60" s="1"/>
  <c r="AJ29" i="60" s="1"/>
  <c r="AK29" i="60" s="1"/>
  <c r="AB69" i="60"/>
  <c r="AC69" i="60" s="1"/>
  <c r="AD69" i="60" s="1"/>
  <c r="AE69" i="60" s="1"/>
  <c r="AF69" i="60" s="1"/>
  <c r="AG69" i="60" s="1"/>
  <c r="AH69" i="60" s="1"/>
  <c r="AI69" i="60" s="1"/>
  <c r="AJ69" i="60" s="1"/>
  <c r="AK69" i="60" s="1"/>
  <c r="AB68" i="60"/>
  <c r="AC68" i="60" s="1"/>
  <c r="AD68" i="60" s="1"/>
  <c r="AE68" i="60" s="1"/>
  <c r="AF68" i="60" s="1"/>
  <c r="AG68" i="60" s="1"/>
  <c r="AH68" i="60" s="1"/>
  <c r="AI68" i="60" s="1"/>
  <c r="AJ68" i="60" s="1"/>
  <c r="AK68" i="60" s="1"/>
  <c r="W35" i="60"/>
  <c r="W38" i="60" s="1"/>
  <c r="AE36" i="60"/>
  <c r="AE25" i="60"/>
  <c r="AE19" i="60" s="1"/>
  <c r="AC30" i="60"/>
  <c r="AD30" i="60" s="1"/>
  <c r="AE30" i="60" s="1"/>
  <c r="AF30" i="60" s="1"/>
  <c r="AG30" i="60" s="1"/>
  <c r="AH30" i="60" s="1"/>
  <c r="AI30" i="60" s="1"/>
  <c r="AJ30" i="60" s="1"/>
  <c r="AK30" i="60" s="1"/>
  <c r="AC64" i="60"/>
  <c r="AD64" i="60" s="1"/>
  <c r="AE64" i="60" s="1"/>
  <c r="AF64" i="60" s="1"/>
  <c r="AG64" i="60" s="1"/>
  <c r="AH64" i="60" s="1"/>
  <c r="AI64" i="60" s="1"/>
  <c r="AJ64" i="60" s="1"/>
  <c r="AK64" i="60" s="1"/>
  <c r="AC65" i="60"/>
  <c r="AD65" i="60" s="1"/>
  <c r="AE65" i="60" s="1"/>
  <c r="AF65" i="60" s="1"/>
  <c r="AG65" i="60" s="1"/>
  <c r="AH65" i="60" s="1"/>
  <c r="AI65" i="60" s="1"/>
  <c r="AJ65" i="60" s="1"/>
  <c r="AK65" i="60" s="1"/>
  <c r="M73" i="60"/>
  <c r="M80" i="60" s="1"/>
  <c r="N97" i="60"/>
  <c r="Y35" i="60"/>
  <c r="Y38" i="60" s="1"/>
  <c r="Y25" i="60"/>
  <c r="Y18" i="60" s="1"/>
  <c r="N17" i="60"/>
  <c r="N19" i="60"/>
  <c r="J29" i="60"/>
  <c r="J66" i="60"/>
  <c r="J67" i="60"/>
  <c r="J68" i="60"/>
  <c r="J69" i="60"/>
  <c r="J63" i="60"/>
  <c r="J64" i="60"/>
  <c r="J65" i="60"/>
  <c r="J30" i="60"/>
  <c r="AC35" i="60"/>
  <c r="AC38" i="60" s="1"/>
  <c r="P85" i="60"/>
  <c r="Q85" i="60" s="1"/>
  <c r="P103" i="60"/>
  <c r="Q103" i="60" s="1"/>
  <c r="R103" i="60" s="1"/>
  <c r="S103" i="60" s="1"/>
  <c r="T103" i="60" s="1"/>
  <c r="U103" i="60" s="1"/>
  <c r="V103" i="60" s="1"/>
  <c r="W103" i="60" s="1"/>
  <c r="X103" i="60" s="1"/>
  <c r="Y103" i="60" s="1"/>
  <c r="Z103" i="60" s="1"/>
  <c r="AA103" i="60" s="1"/>
  <c r="AB103" i="60" s="1"/>
  <c r="AC103" i="60" s="1"/>
  <c r="AD103" i="60" s="1"/>
  <c r="AE103" i="60" s="1"/>
  <c r="AF103" i="60" s="1"/>
  <c r="AG103" i="60" s="1"/>
  <c r="AH103" i="60" s="1"/>
  <c r="AI103" i="60" s="1"/>
  <c r="AJ103" i="60" s="1"/>
  <c r="AK103" i="60" s="1"/>
  <c r="AL103" i="60" s="1"/>
  <c r="AM103" i="60" s="1"/>
  <c r="AN103" i="60" s="1"/>
  <c r="AO103" i="60" s="1"/>
  <c r="P122" i="60"/>
  <c r="M63" i="47" s="1"/>
  <c r="I34" i="60"/>
  <c r="I37" i="60" s="1"/>
  <c r="I25" i="60"/>
  <c r="I31" i="60" s="1"/>
  <c r="AC36" i="60"/>
  <c r="AC19" i="60"/>
  <c r="F23" i="60"/>
  <c r="R35" i="60"/>
  <c r="R38" i="60" s="1"/>
  <c r="R18" i="60"/>
  <c r="K36" i="60"/>
  <c r="Q108" i="60"/>
  <c r="R108" i="60" s="1"/>
  <c r="S108" i="60" s="1"/>
  <c r="T108" i="60" s="1"/>
  <c r="U108" i="60" s="1"/>
  <c r="V108" i="60" s="1"/>
  <c r="W108" i="60" s="1"/>
  <c r="X108" i="60" s="1"/>
  <c r="Y108" i="60" s="1"/>
  <c r="Z108" i="60" s="1"/>
  <c r="AA108" i="60" s="1"/>
  <c r="AB108" i="60" s="1"/>
  <c r="AC108" i="60" s="1"/>
  <c r="AD108" i="60" s="1"/>
  <c r="AE108" i="60" s="1"/>
  <c r="AF108" i="60" s="1"/>
  <c r="AG108" i="60" s="1"/>
  <c r="AH108" i="60" s="1"/>
  <c r="AI108" i="60" s="1"/>
  <c r="AJ108" i="60" s="1"/>
  <c r="AK108" i="60" s="1"/>
  <c r="AL108" i="60" s="1"/>
  <c r="AM108" i="60" s="1"/>
  <c r="AN108" i="60" s="1"/>
  <c r="AO108" i="60" s="1"/>
  <c r="AP108" i="60" s="1"/>
  <c r="F50" i="60"/>
  <c r="F63" i="60"/>
  <c r="F65" i="60"/>
  <c r="S65" i="60" s="1"/>
  <c r="F67" i="60"/>
  <c r="F69" i="60"/>
  <c r="K69" i="60" s="1"/>
  <c r="L69" i="60" s="1"/>
  <c r="F64" i="60"/>
  <c r="R64" i="60" s="1"/>
  <c r="F68" i="60"/>
  <c r="R68" i="60" s="1"/>
  <c r="F66" i="60"/>
  <c r="W34" i="60"/>
  <c r="W37" i="60" s="1"/>
  <c r="W25" i="60"/>
  <c r="P105" i="60"/>
  <c r="AP23" i="60"/>
  <c r="AO35" i="60"/>
  <c r="AO38" i="60" s="1"/>
  <c r="AD36" i="60"/>
  <c r="AD19" i="60"/>
  <c r="K25" i="60"/>
  <c r="K19" i="60" s="1"/>
  <c r="K34" i="60"/>
  <c r="P126" i="60"/>
  <c r="P125" i="60"/>
  <c r="Q125" i="60" s="1"/>
  <c r="R125" i="60" s="1"/>
  <c r="S125" i="60" s="1"/>
  <c r="T125" i="60" s="1"/>
  <c r="U125" i="60" s="1"/>
  <c r="V125" i="60" s="1"/>
  <c r="W125" i="60" s="1"/>
  <c r="X125" i="60" s="1"/>
  <c r="Y125" i="60" s="1"/>
  <c r="Z125" i="60" s="1"/>
  <c r="AA125" i="60" s="1"/>
  <c r="AB125" i="60" s="1"/>
  <c r="AC125" i="60" s="1"/>
  <c r="AD125" i="60" s="1"/>
  <c r="AE125" i="60" s="1"/>
  <c r="AF125" i="60" s="1"/>
  <c r="AG125" i="60" s="1"/>
  <c r="AH125" i="60" s="1"/>
  <c r="AI125" i="60" s="1"/>
  <c r="AJ125" i="60" s="1"/>
  <c r="AK125" i="60" s="1"/>
  <c r="AL125" i="60" s="1"/>
  <c r="AM125" i="60" s="1"/>
  <c r="AN125" i="60" s="1"/>
  <c r="AO125" i="60" s="1"/>
  <c r="AP125" i="60" s="1"/>
  <c r="R30" i="60"/>
  <c r="R29" i="60"/>
  <c r="S29" i="60" s="1"/>
  <c r="T29" i="60" s="1"/>
  <c r="R65" i="60"/>
  <c r="P112" i="60"/>
  <c r="AI35" i="60"/>
  <c r="AI38" i="60" s="1"/>
  <c r="AC25" i="60"/>
  <c r="AC17" i="60" s="1"/>
  <c r="P109" i="60"/>
  <c r="Q109" i="60" s="1"/>
  <c r="R109" i="60" s="1"/>
  <c r="S109" i="60" s="1"/>
  <c r="T109" i="60" s="1"/>
  <c r="U109" i="60" s="1"/>
  <c r="V109" i="60" s="1"/>
  <c r="W109" i="60" s="1"/>
  <c r="X109" i="60" s="1"/>
  <c r="Y109" i="60" s="1"/>
  <c r="Z109" i="60" s="1"/>
  <c r="AA109" i="60" s="1"/>
  <c r="AB109" i="60" s="1"/>
  <c r="AC109" i="60" s="1"/>
  <c r="AD109" i="60" s="1"/>
  <c r="AE109" i="60" s="1"/>
  <c r="AF109" i="60" s="1"/>
  <c r="AG109" i="60" s="1"/>
  <c r="AH109" i="60" s="1"/>
  <c r="AI109" i="60" s="1"/>
  <c r="AJ109" i="60" s="1"/>
  <c r="AK109" i="60" s="1"/>
  <c r="AL109" i="60" s="1"/>
  <c r="AM109" i="60" s="1"/>
  <c r="AN109" i="60" s="1"/>
  <c r="AO109" i="60" s="1"/>
  <c r="AP109" i="60" s="1"/>
  <c r="AD35" i="60"/>
  <c r="AD38" i="60" s="1"/>
  <c r="AD18" i="60"/>
  <c r="P81" i="60"/>
  <c r="Q81" i="60" s="1"/>
  <c r="R81" i="60" s="1"/>
  <c r="S81" i="60" s="1"/>
  <c r="P83" i="60"/>
  <c r="Q83" i="60" s="1"/>
  <c r="P82" i="60"/>
  <c r="Q82" i="60" s="1"/>
  <c r="P100" i="60"/>
  <c r="P106" i="60"/>
  <c r="P115" i="60"/>
  <c r="P128" i="60"/>
  <c r="Q128" i="60" s="1"/>
  <c r="R128" i="60" s="1"/>
  <c r="S128" i="60" s="1"/>
  <c r="T128" i="60" s="1"/>
  <c r="U128" i="60" s="1"/>
  <c r="V128" i="60" s="1"/>
  <c r="W128" i="60" s="1"/>
  <c r="X128" i="60" s="1"/>
  <c r="Y128" i="60" s="1"/>
  <c r="Z128" i="60" s="1"/>
  <c r="AA128" i="60" s="1"/>
  <c r="AB128" i="60" s="1"/>
  <c r="AC128" i="60" s="1"/>
  <c r="AD128" i="60" s="1"/>
  <c r="AE128" i="60" s="1"/>
  <c r="AF128" i="60" s="1"/>
  <c r="AG128" i="60" s="1"/>
  <c r="AH128" i="60" s="1"/>
  <c r="AI128" i="60" s="1"/>
  <c r="AJ128" i="60" s="1"/>
  <c r="AK128" i="60" s="1"/>
  <c r="AL128" i="60" s="1"/>
  <c r="AM128" i="60" s="1"/>
  <c r="AN128" i="60" s="1"/>
  <c r="AO128" i="60" s="1"/>
  <c r="AP128" i="60" s="1"/>
  <c r="P104" i="60"/>
  <c r="P120" i="60"/>
  <c r="Q120" i="60" s="1"/>
  <c r="R120" i="60" s="1"/>
  <c r="S120" i="60" s="1"/>
  <c r="T120" i="60" s="1"/>
  <c r="U120" i="60" s="1"/>
  <c r="V120" i="60" s="1"/>
  <c r="W120" i="60" s="1"/>
  <c r="X120" i="60" s="1"/>
  <c r="Y120" i="60" s="1"/>
  <c r="Z120" i="60" s="1"/>
  <c r="AA120" i="60" s="1"/>
  <c r="AB120" i="60" s="1"/>
  <c r="AC120" i="60" s="1"/>
  <c r="AD120" i="60" s="1"/>
  <c r="AE120" i="60" s="1"/>
  <c r="AF120" i="60" s="1"/>
  <c r="AG120" i="60" s="1"/>
  <c r="AH120" i="60" s="1"/>
  <c r="AI120" i="60" s="1"/>
  <c r="AJ120" i="60" s="1"/>
  <c r="AK120" i="60" s="1"/>
  <c r="AL120" i="60" s="1"/>
  <c r="AM120" i="60" s="1"/>
  <c r="AN120" i="60" s="1"/>
  <c r="AO120" i="60" s="1"/>
  <c r="AP120" i="60" s="1"/>
  <c r="P99" i="60"/>
  <c r="P107" i="60"/>
  <c r="Q107" i="60" s="1"/>
  <c r="R107" i="60" s="1"/>
  <c r="S107" i="60" s="1"/>
  <c r="T107" i="60" s="1"/>
  <c r="U107" i="60" s="1"/>
  <c r="V107" i="60" s="1"/>
  <c r="W107" i="60" s="1"/>
  <c r="X107" i="60" s="1"/>
  <c r="Y107" i="60" s="1"/>
  <c r="Z107" i="60" s="1"/>
  <c r="AA107" i="60" s="1"/>
  <c r="AB107" i="60" s="1"/>
  <c r="AC107" i="60" s="1"/>
  <c r="AD107" i="60" s="1"/>
  <c r="AE107" i="60" s="1"/>
  <c r="AF107" i="60" s="1"/>
  <c r="AG107" i="60" s="1"/>
  <c r="AH107" i="60" s="1"/>
  <c r="AI107" i="60" s="1"/>
  <c r="AJ107" i="60" s="1"/>
  <c r="AK107" i="60" s="1"/>
  <c r="AL107" i="60" s="1"/>
  <c r="AM107" i="60" s="1"/>
  <c r="AN107" i="60" s="1"/>
  <c r="AO107" i="60" s="1"/>
  <c r="AP107" i="60" s="1"/>
  <c r="P121" i="60"/>
  <c r="P111" i="60"/>
  <c r="P92" i="60"/>
  <c r="AI25" i="60"/>
  <c r="AI34" i="60"/>
  <c r="AI37" i="60" s="1"/>
  <c r="Z18" i="60"/>
  <c r="Z19" i="60"/>
  <c r="K35" i="60"/>
  <c r="K38" i="60" s="1"/>
  <c r="K29" i="60"/>
  <c r="L29" i="60" s="1"/>
  <c r="M29" i="60" s="1"/>
  <c r="N29" i="60" s="1"/>
  <c r="O29" i="60" s="1"/>
  <c r="P29" i="60" s="1"/>
  <c r="Q29" i="60" s="1"/>
  <c r="K30" i="60"/>
  <c r="L30" i="60" s="1"/>
  <c r="K66" i="60"/>
  <c r="L66" i="60" s="1"/>
  <c r="P110" i="60"/>
  <c r="Q114" i="60"/>
  <c r="N81" i="47" s="1"/>
  <c r="Q119" i="60"/>
  <c r="R119" i="60" s="1"/>
  <c r="S119" i="60" s="1"/>
  <c r="T119" i="60" s="1"/>
  <c r="U119" i="60" s="1"/>
  <c r="V119" i="60" s="1"/>
  <c r="W119" i="60" s="1"/>
  <c r="X119" i="60" s="1"/>
  <c r="Y119" i="60" s="1"/>
  <c r="Z119" i="60" s="1"/>
  <c r="AA119" i="60" s="1"/>
  <c r="AB119" i="60" s="1"/>
  <c r="AC119" i="60" s="1"/>
  <c r="AD119" i="60" s="1"/>
  <c r="AE119" i="60" s="1"/>
  <c r="AF119" i="60" s="1"/>
  <c r="AG119" i="60" s="1"/>
  <c r="AH119" i="60" s="1"/>
  <c r="AI119" i="60" s="1"/>
  <c r="AJ119" i="60" s="1"/>
  <c r="AK119" i="60" s="1"/>
  <c r="AL119" i="60" s="1"/>
  <c r="AM119" i="60" s="1"/>
  <c r="AN119" i="60" s="1"/>
  <c r="AO119" i="60" s="1"/>
  <c r="AP119" i="60" s="1"/>
  <c r="W36" i="60"/>
  <c r="S30" i="60"/>
  <c r="T30" i="60" s="1"/>
  <c r="U30" i="60" s="1"/>
  <c r="V30" i="60" s="1"/>
  <c r="W30" i="60" s="1"/>
  <c r="X30" i="60" s="1"/>
  <c r="Y30" i="60" s="1"/>
  <c r="Z30" i="60" s="1"/>
  <c r="AA30" i="60" s="1"/>
  <c r="G34" i="60"/>
  <c r="G37" i="60" s="1"/>
  <c r="G25" i="60"/>
  <c r="G31" i="60" s="1"/>
  <c r="Z17" i="60"/>
  <c r="G50" i="60"/>
  <c r="P101" i="60"/>
  <c r="I35" i="60"/>
  <c r="I38" i="60" s="1"/>
  <c r="T34" i="60"/>
  <c r="T37" i="60" s="1"/>
  <c r="T25" i="60"/>
  <c r="P84" i="60"/>
  <c r="Q84" i="60" s="1"/>
  <c r="U29" i="60"/>
  <c r="V29" i="60" s="1"/>
  <c r="W29" i="60" s="1"/>
  <c r="X29" i="60" s="1"/>
  <c r="Y29" i="60" s="1"/>
  <c r="Z29" i="60" s="1"/>
  <c r="AA29" i="60" s="1"/>
  <c r="Q116" i="60" l="1"/>
  <c r="N79" i="47" s="1"/>
  <c r="Q124" i="60"/>
  <c r="N67" i="47" s="1"/>
  <c r="Q121" i="60"/>
  <c r="M64" i="47"/>
  <c r="Q99" i="60"/>
  <c r="M70" i="47"/>
  <c r="Q110" i="60"/>
  <c r="N77" i="47" s="1"/>
  <c r="M77" i="47"/>
  <c r="Q101" i="60"/>
  <c r="M69" i="47"/>
  <c r="Q104" i="60"/>
  <c r="M73" i="47"/>
  <c r="Q105" i="60"/>
  <c r="M72" i="47"/>
  <c r="Q112" i="60"/>
  <c r="N76" i="47" s="1"/>
  <c r="M76" i="47"/>
  <c r="Q115" i="60"/>
  <c r="N80" i="47" s="1"/>
  <c r="M80" i="47"/>
  <c r="Q106" i="60"/>
  <c r="M71" i="47"/>
  <c r="Q100" i="60"/>
  <c r="M74" i="47"/>
  <c r="Q111" i="60"/>
  <c r="N82" i="47" s="1"/>
  <c r="M82" i="47"/>
  <c r="Q126" i="60"/>
  <c r="M66" i="47"/>
  <c r="R85" i="60"/>
  <c r="S85" i="60" s="1"/>
  <c r="T85" i="60" s="1"/>
  <c r="U85" i="60" s="1"/>
  <c r="V85" i="60" s="1"/>
  <c r="W85" i="60" s="1"/>
  <c r="X85" i="60" s="1"/>
  <c r="Y85" i="60" s="1"/>
  <c r="Z85" i="60" s="1"/>
  <c r="AA85" i="60" s="1"/>
  <c r="AB85" i="60" s="1"/>
  <c r="AC85" i="60" s="1"/>
  <c r="AD85" i="60" s="1"/>
  <c r="AE85" i="60" s="1"/>
  <c r="AF85" i="60" s="1"/>
  <c r="AG85" i="60" s="1"/>
  <c r="AH85" i="60" s="1"/>
  <c r="AI85" i="60" s="1"/>
  <c r="AJ85" i="60" s="1"/>
  <c r="AK85" i="60" s="1"/>
  <c r="AL85" i="60" s="1"/>
  <c r="AM85" i="60" s="1"/>
  <c r="AN85" i="60" s="1"/>
  <c r="AO85" i="60" s="1"/>
  <c r="AP85" i="60" s="1"/>
  <c r="R114" i="60"/>
  <c r="P117" i="60"/>
  <c r="M78" i="47" s="1"/>
  <c r="R82" i="60"/>
  <c r="S82" i="60" s="1"/>
  <c r="T82" i="60" s="1"/>
  <c r="U82" i="60" s="1"/>
  <c r="V82" i="60" s="1"/>
  <c r="W82" i="60" s="1"/>
  <c r="X82" i="60" s="1"/>
  <c r="Y82" i="60" s="1"/>
  <c r="Z82" i="60" s="1"/>
  <c r="AA82" i="60" s="1"/>
  <c r="AB82" i="60" s="1"/>
  <c r="AC82" i="60" s="1"/>
  <c r="AD82" i="60" s="1"/>
  <c r="AE82" i="60" s="1"/>
  <c r="AF82" i="60" s="1"/>
  <c r="AG82" i="60" s="1"/>
  <c r="AH82" i="60" s="1"/>
  <c r="AI82" i="60" s="1"/>
  <c r="AJ82" i="60" s="1"/>
  <c r="AK82" i="60" s="1"/>
  <c r="AL82" i="60" s="1"/>
  <c r="AM82" i="60" s="1"/>
  <c r="AN82" i="60" s="1"/>
  <c r="AO82" i="60" s="1"/>
  <c r="R69" i="60"/>
  <c r="S69" i="60" s="1"/>
  <c r="K64" i="60"/>
  <c r="L64" i="60" s="1"/>
  <c r="M64" i="60" s="1"/>
  <c r="N64" i="60" s="1"/>
  <c r="O64" i="60" s="1"/>
  <c r="P64" i="60" s="1"/>
  <c r="Q64" i="60" s="1"/>
  <c r="R83" i="60"/>
  <c r="S83" i="60" s="1"/>
  <c r="T83" i="60" s="1"/>
  <c r="U83" i="60" s="1"/>
  <c r="V83" i="60" s="1"/>
  <c r="W83" i="60" s="1"/>
  <c r="X83" i="60" s="1"/>
  <c r="Y83" i="60" s="1"/>
  <c r="Z83" i="60" s="1"/>
  <c r="AA83" i="60" s="1"/>
  <c r="AB83" i="60" s="1"/>
  <c r="AC83" i="60" s="1"/>
  <c r="AD83" i="60" s="1"/>
  <c r="AE83" i="60" s="1"/>
  <c r="AF83" i="60" s="1"/>
  <c r="AG83" i="60" s="1"/>
  <c r="AH83" i="60" s="1"/>
  <c r="AI83" i="60" s="1"/>
  <c r="AJ83" i="60" s="1"/>
  <c r="AK83" i="60" s="1"/>
  <c r="AL83" i="60" s="1"/>
  <c r="AM83" i="60" s="1"/>
  <c r="AN83" i="60" s="1"/>
  <c r="AO83" i="60" s="1"/>
  <c r="AP83" i="60" s="1"/>
  <c r="K18" i="60"/>
  <c r="K63" i="60"/>
  <c r="L63" i="60" s="1"/>
  <c r="M63" i="60" s="1"/>
  <c r="N63" i="60" s="1"/>
  <c r="O63" i="60" s="1"/>
  <c r="P63" i="60" s="1"/>
  <c r="Q63" i="60" s="1"/>
  <c r="R84" i="60"/>
  <c r="S84" i="60" s="1"/>
  <c r="T84" i="60" s="1"/>
  <c r="U84" i="60" s="1"/>
  <c r="V84" i="60" s="1"/>
  <c r="W84" i="60" s="1"/>
  <c r="X84" i="60" s="1"/>
  <c r="Y84" i="60" s="1"/>
  <c r="Z84" i="60" s="1"/>
  <c r="AA84" i="60" s="1"/>
  <c r="AB84" i="60" s="1"/>
  <c r="AC84" i="60" s="1"/>
  <c r="AD84" i="60" s="1"/>
  <c r="AE84" i="60" s="1"/>
  <c r="AF84" i="60" s="1"/>
  <c r="AG84" i="60" s="1"/>
  <c r="AH84" i="60" s="1"/>
  <c r="AI84" i="60" s="1"/>
  <c r="AJ84" i="60" s="1"/>
  <c r="AK84" i="60" s="1"/>
  <c r="AL84" i="60" s="1"/>
  <c r="AM84" i="60" s="1"/>
  <c r="AN84" i="60" s="1"/>
  <c r="AO84" i="60" s="1"/>
  <c r="Q122" i="60"/>
  <c r="K17" i="60"/>
  <c r="T81" i="60"/>
  <c r="U81" i="60" s="1"/>
  <c r="V81" i="60" s="1"/>
  <c r="W81" i="60" s="1"/>
  <c r="X81" i="60" s="1"/>
  <c r="Y81" i="60" s="1"/>
  <c r="Z81" i="60" s="1"/>
  <c r="AA81" i="60" s="1"/>
  <c r="AB81" i="60" s="1"/>
  <c r="AC81" i="60" s="1"/>
  <c r="AD81" i="60" s="1"/>
  <c r="AE81" i="60" s="1"/>
  <c r="AF81" i="60" s="1"/>
  <c r="AG81" i="60" s="1"/>
  <c r="AH81" i="60" s="1"/>
  <c r="AI81" i="60" s="1"/>
  <c r="AJ81" i="60" s="1"/>
  <c r="AK81" i="60" s="1"/>
  <c r="AL81" i="60" s="1"/>
  <c r="AM81" i="60" s="1"/>
  <c r="AN81" i="60" s="1"/>
  <c r="AA19" i="60"/>
  <c r="AP22" i="60"/>
  <c r="AO34" i="60"/>
  <c r="AO37" i="60" s="1"/>
  <c r="AO25" i="60"/>
  <c r="AN19" i="60"/>
  <c r="AN18" i="60"/>
  <c r="AP103" i="60"/>
  <c r="AM18" i="60"/>
  <c r="AM19" i="60"/>
  <c r="AM17" i="60"/>
  <c r="M69" i="60"/>
  <c r="K65" i="60"/>
  <c r="L65" i="60" s="1"/>
  <c r="M65" i="60" s="1"/>
  <c r="N65" i="60" s="1"/>
  <c r="O65" i="60" s="1"/>
  <c r="P65" i="60" s="1"/>
  <c r="Q65" i="60" s="1"/>
  <c r="AN17" i="60"/>
  <c r="AA18" i="60"/>
  <c r="E18" i="60"/>
  <c r="E19" i="60"/>
  <c r="E17" i="60"/>
  <c r="K37" i="60"/>
  <c r="K39" i="60" s="1"/>
  <c r="T18" i="60"/>
  <c r="T19" i="60"/>
  <c r="T17" i="60"/>
  <c r="W18" i="60"/>
  <c r="W19" i="60"/>
  <c r="W17" i="60"/>
  <c r="AK18" i="60"/>
  <c r="AK19" i="60"/>
  <c r="AK17" i="60"/>
  <c r="AI19" i="60"/>
  <c r="AI18" i="60"/>
  <c r="AI17" i="60"/>
  <c r="K68" i="60"/>
  <c r="L68" i="60" s="1"/>
  <c r="M68" i="60" s="1"/>
  <c r="N68" i="60" s="1"/>
  <c r="O68" i="60" s="1"/>
  <c r="P68" i="60" s="1"/>
  <c r="Q68" i="60" s="1"/>
  <c r="S68" i="60"/>
  <c r="T68" i="60" s="1"/>
  <c r="U68" i="60" s="1"/>
  <c r="V68" i="60" s="1"/>
  <c r="W68" i="60" s="1"/>
  <c r="X68" i="60" s="1"/>
  <c r="Y68" i="60" s="1"/>
  <c r="Z68" i="60" s="1"/>
  <c r="AA68" i="60" s="1"/>
  <c r="AC18" i="60"/>
  <c r="T65" i="60"/>
  <c r="U65" i="60" s="1"/>
  <c r="V65" i="60" s="1"/>
  <c r="W65" i="60" s="1"/>
  <c r="X65" i="60" s="1"/>
  <c r="Y65" i="60" s="1"/>
  <c r="Z65" i="60" s="1"/>
  <c r="AA65" i="60" s="1"/>
  <c r="R67" i="60"/>
  <c r="S67" i="60" s="1"/>
  <c r="T67" i="60" s="1"/>
  <c r="U67" i="60" s="1"/>
  <c r="V67" i="60" s="1"/>
  <c r="W67" i="60" s="1"/>
  <c r="X67" i="60" s="1"/>
  <c r="Y67" i="60" s="1"/>
  <c r="Z67" i="60" s="1"/>
  <c r="AA67" i="60" s="1"/>
  <c r="F35" i="60"/>
  <c r="F38" i="60" s="1"/>
  <c r="F25" i="60"/>
  <c r="F17" i="60" s="1"/>
  <c r="Y17" i="60"/>
  <c r="Y19" i="60"/>
  <c r="T63" i="60"/>
  <c r="U63" i="60" s="1"/>
  <c r="V63" i="60" s="1"/>
  <c r="W63" i="60" s="1"/>
  <c r="X63" i="60" s="1"/>
  <c r="Y63" i="60" s="1"/>
  <c r="Z63" i="60" s="1"/>
  <c r="AA63" i="60" s="1"/>
  <c r="M66" i="60"/>
  <c r="N66" i="60" s="1"/>
  <c r="O66" i="60" s="1"/>
  <c r="P66" i="60" s="1"/>
  <c r="Q66" i="60" s="1"/>
  <c r="AF19" i="60"/>
  <c r="AF18" i="60"/>
  <c r="N69" i="60"/>
  <c r="O69" i="60" s="1"/>
  <c r="P69" i="60" s="1"/>
  <c r="Q69" i="60" s="1"/>
  <c r="T69" i="60"/>
  <c r="U69" i="60" s="1"/>
  <c r="V69" i="60" s="1"/>
  <c r="W69" i="60" s="1"/>
  <c r="X69" i="60" s="1"/>
  <c r="Y69" i="60" s="1"/>
  <c r="Z69" i="60" s="1"/>
  <c r="AA69" i="60" s="1"/>
  <c r="F36" i="60"/>
  <c r="S64" i="60"/>
  <c r="T64" i="60" s="1"/>
  <c r="U64" i="60" s="1"/>
  <c r="V64" i="60" s="1"/>
  <c r="W64" i="60" s="1"/>
  <c r="X64" i="60" s="1"/>
  <c r="Y64" i="60" s="1"/>
  <c r="Z64" i="60" s="1"/>
  <c r="AA64" i="60" s="1"/>
  <c r="R63" i="60"/>
  <c r="S63" i="60" s="1"/>
  <c r="AE17" i="60"/>
  <c r="AE18" i="60"/>
  <c r="Q18" i="60"/>
  <c r="Q17" i="60"/>
  <c r="K67" i="60"/>
  <c r="L67" i="60" s="1"/>
  <c r="M67" i="60" s="1"/>
  <c r="N67" i="60" s="1"/>
  <c r="O67" i="60" s="1"/>
  <c r="P67" i="60" s="1"/>
  <c r="Q67" i="60" s="1"/>
  <c r="R66" i="60"/>
  <c r="S66" i="60" s="1"/>
  <c r="T66" i="60" s="1"/>
  <c r="U66" i="60" s="1"/>
  <c r="V66" i="60" s="1"/>
  <c r="W66" i="60" s="1"/>
  <c r="X66" i="60" s="1"/>
  <c r="Y66" i="60" s="1"/>
  <c r="Z66" i="60" s="1"/>
  <c r="AA66" i="60" s="1"/>
  <c r="AP35" i="60"/>
  <c r="AP25" i="60"/>
  <c r="AP18" i="60" s="1"/>
  <c r="N73" i="60"/>
  <c r="N80" i="60" s="1"/>
  <c r="O97" i="60"/>
  <c r="N118" i="60"/>
  <c r="N112" i="60"/>
  <c r="K76" i="47" s="1"/>
  <c r="N105" i="60"/>
  <c r="K72" i="47" s="1"/>
  <c r="N127" i="60"/>
  <c r="N121" i="60"/>
  <c r="K64" i="47" s="1"/>
  <c r="S19" i="60"/>
  <c r="S18" i="60"/>
  <c r="R116" i="60" l="1"/>
  <c r="O79" i="47" s="1"/>
  <c r="R112" i="60"/>
  <c r="O76" i="47" s="1"/>
  <c r="R115" i="60"/>
  <c r="O80" i="47" s="1"/>
  <c r="R124" i="60"/>
  <c r="S124" i="60" s="1"/>
  <c r="N85" i="60"/>
  <c r="N93" i="60" s="1"/>
  <c r="K65" i="47"/>
  <c r="R110" i="60"/>
  <c r="O77" i="47" s="1"/>
  <c r="R111" i="60"/>
  <c r="O82" i="47" s="1"/>
  <c r="R104" i="60"/>
  <c r="N73" i="47"/>
  <c r="R100" i="60"/>
  <c r="N74" i="47"/>
  <c r="R101" i="60"/>
  <c r="N69" i="47"/>
  <c r="R106" i="60"/>
  <c r="N71" i="47"/>
  <c r="R105" i="60"/>
  <c r="N72" i="47"/>
  <c r="R99" i="60"/>
  <c r="N70" i="47"/>
  <c r="R126" i="60"/>
  <c r="N66" i="47"/>
  <c r="R122" i="60"/>
  <c r="N63" i="47"/>
  <c r="S116" i="60"/>
  <c r="S114" i="60"/>
  <c r="O81" i="47"/>
  <c r="R121" i="60"/>
  <c r="N64" i="47"/>
  <c r="AO81" i="60"/>
  <c r="AP81" i="60" s="1"/>
  <c r="F19" i="60"/>
  <c r="F31" i="60"/>
  <c r="AP34" i="60"/>
  <c r="AP37" i="60"/>
  <c r="F18" i="60"/>
  <c r="AP84" i="60"/>
  <c r="AP38" i="60"/>
  <c r="AO19" i="60"/>
  <c r="AO18" i="60"/>
  <c r="AO17" i="60"/>
  <c r="P97" i="60"/>
  <c r="O73" i="60"/>
  <c r="O80" i="60" s="1"/>
  <c r="L119" i="60"/>
  <c r="L127" i="60"/>
  <c r="L123" i="60"/>
  <c r="K118" i="60"/>
  <c r="L113" i="60"/>
  <c r="L115" i="60"/>
  <c r="I80" i="47" s="1"/>
  <c r="K111" i="60"/>
  <c r="H82" i="47" s="1"/>
  <c r="L111" i="60"/>
  <c r="I82" i="47" s="1"/>
  <c r="L114" i="60"/>
  <c r="I81" i="47" s="1"/>
  <c r="K112" i="60"/>
  <c r="H76" i="47" s="1"/>
  <c r="L128" i="60"/>
  <c r="K108" i="60"/>
  <c r="K119" i="60"/>
  <c r="K124" i="60"/>
  <c r="H67" i="47" s="1"/>
  <c r="K120" i="60"/>
  <c r="L106" i="60"/>
  <c r="I71" i="47" s="1"/>
  <c r="L120" i="60"/>
  <c r="L108" i="60"/>
  <c r="K99" i="60"/>
  <c r="H70" i="47" s="1"/>
  <c r="K114" i="60"/>
  <c r="H81" i="47" s="1"/>
  <c r="K110" i="60"/>
  <c r="H77" i="47" s="1"/>
  <c r="L100" i="60"/>
  <c r="I74" i="47" s="1"/>
  <c r="L117" i="60"/>
  <c r="K121" i="60"/>
  <c r="H64" i="47" s="1"/>
  <c r="L99" i="60"/>
  <c r="I70" i="47" s="1"/>
  <c r="K103" i="60"/>
  <c r="L105" i="60"/>
  <c r="I72" i="47" s="1"/>
  <c r="L101" i="60"/>
  <c r="I69" i="47" s="1"/>
  <c r="K117" i="60"/>
  <c r="L121" i="60"/>
  <c r="I64" i="47" s="1"/>
  <c r="L103" i="60"/>
  <c r="L125" i="60"/>
  <c r="K109" i="60"/>
  <c r="K125" i="60"/>
  <c r="K107" i="60"/>
  <c r="K126" i="60"/>
  <c r="H66" i="47" s="1"/>
  <c r="K128" i="60"/>
  <c r="L107" i="60"/>
  <c r="K115" i="60"/>
  <c r="H80" i="47" s="1"/>
  <c r="L104" i="60"/>
  <c r="I73" i="47" s="1"/>
  <c r="L122" i="60"/>
  <c r="I63" i="47" s="1"/>
  <c r="L124" i="60"/>
  <c r="I67" i="47" s="1"/>
  <c r="K113" i="60"/>
  <c r="K105" i="60"/>
  <c r="H72" i="47" s="1"/>
  <c r="K122" i="60"/>
  <c r="H63" i="47" s="1"/>
  <c r="K123" i="60"/>
  <c r="L102" i="60"/>
  <c r="I68" i="47" s="1"/>
  <c r="K101" i="60"/>
  <c r="H69" i="47" s="1"/>
  <c r="K127" i="60"/>
  <c r="L126" i="60"/>
  <c r="I66" i="47" s="1"/>
  <c r="K100" i="60"/>
  <c r="H74" i="47" s="1"/>
  <c r="L118" i="60"/>
  <c r="L110" i="60"/>
  <c r="I77" i="47" s="1"/>
  <c r="K106" i="60"/>
  <c r="H71" i="47" s="1"/>
  <c r="K102" i="60"/>
  <c r="H68" i="47" s="1"/>
  <c r="K116" i="60"/>
  <c r="H79" i="47" s="1"/>
  <c r="L109" i="60"/>
  <c r="K104" i="60"/>
  <c r="H73" i="47" s="1"/>
  <c r="L116" i="60"/>
  <c r="I79" i="47" s="1"/>
  <c r="M122" i="60"/>
  <c r="J63" i="47" s="1"/>
  <c r="L112" i="60"/>
  <c r="I76" i="47" s="1"/>
  <c r="M112" i="60"/>
  <c r="J76" i="47" s="1"/>
  <c r="M127" i="60"/>
  <c r="M99" i="60"/>
  <c r="J70" i="47" s="1"/>
  <c r="M125" i="60"/>
  <c r="M116" i="60"/>
  <c r="J79" i="47" s="1"/>
  <c r="M107" i="60"/>
  <c r="M101" i="60"/>
  <c r="J69" i="47" s="1"/>
  <c r="M124" i="60"/>
  <c r="J67" i="47" s="1"/>
  <c r="M104" i="60"/>
  <c r="J73" i="47" s="1"/>
  <c r="M100" i="60"/>
  <c r="J74" i="47" s="1"/>
  <c r="M111" i="60"/>
  <c r="J82" i="47" s="1"/>
  <c r="M123" i="60"/>
  <c r="M102" i="60"/>
  <c r="J68" i="47" s="1"/>
  <c r="M103" i="60"/>
  <c r="M113" i="60"/>
  <c r="M106" i="60"/>
  <c r="J71" i="47" s="1"/>
  <c r="M108" i="60"/>
  <c r="M128" i="60"/>
  <c r="M119" i="60"/>
  <c r="M126" i="60"/>
  <c r="J66" i="47" s="1"/>
  <c r="M105" i="60"/>
  <c r="J72" i="47" s="1"/>
  <c r="M109" i="60"/>
  <c r="M118" i="60"/>
  <c r="M110" i="60"/>
  <c r="J77" i="47" s="1"/>
  <c r="M114" i="60"/>
  <c r="J81" i="47" s="1"/>
  <c r="M115" i="60"/>
  <c r="J80" i="47" s="1"/>
  <c r="M120" i="60"/>
  <c r="M121" i="60"/>
  <c r="J64" i="47" s="1"/>
  <c r="M117" i="60"/>
  <c r="N123" i="60"/>
  <c r="N117" i="60"/>
  <c r="N107" i="60"/>
  <c r="N111" i="60"/>
  <c r="K82" i="47" s="1"/>
  <c r="N120" i="60"/>
  <c r="N128" i="60"/>
  <c r="N114" i="60"/>
  <c r="K81" i="47" s="1"/>
  <c r="N101" i="60"/>
  <c r="K69" i="47" s="1"/>
  <c r="N102" i="60"/>
  <c r="K68" i="47" s="1"/>
  <c r="N125" i="60"/>
  <c r="N124" i="60"/>
  <c r="K67" i="47" s="1"/>
  <c r="N122" i="60"/>
  <c r="K63" i="47" s="1"/>
  <c r="N108" i="60"/>
  <c r="N109" i="60"/>
  <c r="N126" i="60"/>
  <c r="K66" i="47" s="1"/>
  <c r="N106" i="60"/>
  <c r="K71" i="47" s="1"/>
  <c r="N116" i="60"/>
  <c r="K79" i="47" s="1"/>
  <c r="N110" i="60"/>
  <c r="K77" i="47" s="1"/>
  <c r="N113" i="60"/>
  <c r="N103" i="60"/>
  <c r="N104" i="60"/>
  <c r="K73" i="47" s="1"/>
  <c r="N99" i="60"/>
  <c r="K70" i="47" s="1"/>
  <c r="N100" i="60"/>
  <c r="K74" i="47" s="1"/>
  <c r="AP82" i="60"/>
  <c r="N115" i="60"/>
  <c r="K80" i="47" s="1"/>
  <c r="N119" i="60"/>
  <c r="AP17" i="60"/>
  <c r="AP19" i="60"/>
  <c r="S112" i="60" l="1"/>
  <c r="T112" i="60" s="1"/>
  <c r="S111" i="60"/>
  <c r="T111" i="60" s="1"/>
  <c r="S110" i="60"/>
  <c r="T110" i="60" s="1"/>
  <c r="S115" i="60"/>
  <c r="T115" i="60" s="1"/>
  <c r="O67" i="47"/>
  <c r="L84" i="60"/>
  <c r="L92" i="60" s="1"/>
  <c r="I78" i="47"/>
  <c r="K83" i="60"/>
  <c r="K91" i="60" s="1"/>
  <c r="H62" i="47"/>
  <c r="N83" i="60"/>
  <c r="N91" i="60" s="1"/>
  <c r="K62" i="47"/>
  <c r="K82" i="60"/>
  <c r="K90" i="60" s="1"/>
  <c r="H75" i="47"/>
  <c r="M84" i="60"/>
  <c r="AB92" i="60" s="1"/>
  <c r="AB117" i="60" s="1"/>
  <c r="Y78" i="47" s="1"/>
  <c r="J78" i="47"/>
  <c r="K84" i="60"/>
  <c r="K92" i="60" s="1"/>
  <c r="H78" i="47"/>
  <c r="L82" i="60"/>
  <c r="L90" i="60" s="1"/>
  <c r="I75" i="47"/>
  <c r="M82" i="60"/>
  <c r="AO90" i="60" s="1"/>
  <c r="AO113" i="60" s="1"/>
  <c r="AL75" i="47" s="1"/>
  <c r="J75" i="47"/>
  <c r="N84" i="60"/>
  <c r="N92" i="60" s="1"/>
  <c r="K78" i="47"/>
  <c r="M85" i="60"/>
  <c r="AL93" i="60" s="1"/>
  <c r="AL127" i="60" s="1"/>
  <c r="AI65" i="47" s="1"/>
  <c r="J65" i="47"/>
  <c r="L83" i="60"/>
  <c r="L91" i="60" s="1"/>
  <c r="I62" i="47"/>
  <c r="L85" i="60"/>
  <c r="L93" i="60" s="1"/>
  <c r="I65" i="47"/>
  <c r="N82" i="60"/>
  <c r="N90" i="60" s="1"/>
  <c r="K75" i="47"/>
  <c r="M83" i="60"/>
  <c r="AM91" i="60" s="1"/>
  <c r="AM123" i="60" s="1"/>
  <c r="AJ62" i="47" s="1"/>
  <c r="J62" i="47"/>
  <c r="K85" i="60"/>
  <c r="K93" i="60" s="1"/>
  <c r="H65" i="47"/>
  <c r="S126" i="60"/>
  <c r="O66" i="47"/>
  <c r="S106" i="60"/>
  <c r="O71" i="47"/>
  <c r="T124" i="60"/>
  <c r="P67" i="47"/>
  <c r="S121" i="60"/>
  <c r="O64" i="47"/>
  <c r="S99" i="60"/>
  <c r="O70" i="47"/>
  <c r="S101" i="60"/>
  <c r="O69" i="47"/>
  <c r="T114" i="60"/>
  <c r="P81" i="47"/>
  <c r="S100" i="60"/>
  <c r="O74" i="47"/>
  <c r="S122" i="60"/>
  <c r="O63" i="47"/>
  <c r="T116" i="60"/>
  <c r="P79" i="47"/>
  <c r="S105" i="60"/>
  <c r="O72" i="47"/>
  <c r="S104" i="60"/>
  <c r="O73" i="47"/>
  <c r="K74" i="60"/>
  <c r="K77" i="60" s="1"/>
  <c r="K81" i="60"/>
  <c r="K89" i="60" s="1"/>
  <c r="AG92" i="60"/>
  <c r="AG117" i="60" s="1"/>
  <c r="AD78" i="47" s="1"/>
  <c r="AD92" i="60"/>
  <c r="AD117" i="60" s="1"/>
  <c r="AA78" i="47" s="1"/>
  <c r="N81" i="60"/>
  <c r="N89" i="60" s="1"/>
  <c r="N74" i="60"/>
  <c r="AC93" i="60"/>
  <c r="AC127" i="60" s="1"/>
  <c r="Z65" i="47" s="1"/>
  <c r="AO93" i="60"/>
  <c r="AO127" i="60" s="1"/>
  <c r="AL65" i="47" s="1"/>
  <c r="M93" i="60"/>
  <c r="AP93" i="60"/>
  <c r="AP127" i="60" s="1"/>
  <c r="AM65" i="47" s="1"/>
  <c r="AF93" i="60"/>
  <c r="AF127" i="60" s="1"/>
  <c r="AC65" i="47" s="1"/>
  <c r="AG93" i="60"/>
  <c r="AG127" i="60" s="1"/>
  <c r="AD65" i="47" s="1"/>
  <c r="AH93" i="60"/>
  <c r="AH127" i="60" s="1"/>
  <c r="AE65" i="47" s="1"/>
  <c r="AD93" i="60"/>
  <c r="AD127" i="60" s="1"/>
  <c r="AA65" i="47" s="1"/>
  <c r="AK93" i="60"/>
  <c r="AK127" i="60" s="1"/>
  <c r="AH65" i="47" s="1"/>
  <c r="AE93" i="60"/>
  <c r="AE127" i="60" s="1"/>
  <c r="AB65" i="47" s="1"/>
  <c r="M74" i="60"/>
  <c r="M81" i="60"/>
  <c r="AD90" i="60"/>
  <c r="AD113" i="60" s="1"/>
  <c r="AA75" i="47" s="1"/>
  <c r="AP90" i="60"/>
  <c r="AP113" i="60" s="1"/>
  <c r="AM75" i="47" s="1"/>
  <c r="AI90" i="60"/>
  <c r="AI113" i="60" s="1"/>
  <c r="AF75" i="47" s="1"/>
  <c r="AL90" i="60"/>
  <c r="AL113" i="60" s="1"/>
  <c r="AI75" i="47" s="1"/>
  <c r="AF90" i="60"/>
  <c r="AF113" i="60" s="1"/>
  <c r="AC75" i="47" s="1"/>
  <c r="AG90" i="60"/>
  <c r="AG113" i="60" s="1"/>
  <c r="AD75" i="47" s="1"/>
  <c r="AH90" i="60"/>
  <c r="AH113" i="60" s="1"/>
  <c r="AE75" i="47" s="1"/>
  <c r="AC90" i="60"/>
  <c r="AC113" i="60" s="1"/>
  <c r="Z75" i="47" s="1"/>
  <c r="AJ90" i="60"/>
  <c r="AJ113" i="60" s="1"/>
  <c r="AG75" i="47" s="1"/>
  <c r="M90" i="60"/>
  <c r="AE90" i="60"/>
  <c r="AE113" i="60" s="1"/>
  <c r="AB75" i="47" s="1"/>
  <c r="AF91" i="60"/>
  <c r="AF123" i="60" s="1"/>
  <c r="AC62" i="47" s="1"/>
  <c r="M91" i="60"/>
  <c r="AK91" i="60"/>
  <c r="AK123" i="60" s="1"/>
  <c r="AH62" i="47" s="1"/>
  <c r="AH91" i="60"/>
  <c r="AH123" i="60" s="1"/>
  <c r="AE62" i="47" s="1"/>
  <c r="AL91" i="60"/>
  <c r="AL123" i="60" s="1"/>
  <c r="AI62" i="47" s="1"/>
  <c r="AB91" i="60"/>
  <c r="AB123" i="60" s="1"/>
  <c r="Y62" i="47" s="1"/>
  <c r="AP91" i="60"/>
  <c r="AP123" i="60" s="1"/>
  <c r="AM62" i="47" s="1"/>
  <c r="AJ91" i="60"/>
  <c r="AJ123" i="60" s="1"/>
  <c r="AG62" i="47" s="1"/>
  <c r="AG91" i="60"/>
  <c r="AG123" i="60" s="1"/>
  <c r="AD62" i="47" s="1"/>
  <c r="AN91" i="60"/>
  <c r="AN123" i="60" s="1"/>
  <c r="AK62" i="47" s="1"/>
  <c r="AE91" i="60"/>
  <c r="AE123" i="60" s="1"/>
  <c r="AB62" i="47" s="1"/>
  <c r="AO91" i="60"/>
  <c r="AO123" i="60" s="1"/>
  <c r="AL62" i="47" s="1"/>
  <c r="L81" i="60"/>
  <c r="L89" i="60" s="1"/>
  <c r="L74" i="60"/>
  <c r="L77" i="60" s="1"/>
  <c r="P73" i="60"/>
  <c r="P80" i="60" s="1"/>
  <c r="Q97" i="60"/>
  <c r="AJ93" i="60" l="1"/>
  <c r="AJ127" i="60" s="1"/>
  <c r="AG65" i="47" s="1"/>
  <c r="AI91" i="60"/>
  <c r="AI123" i="60" s="1"/>
  <c r="AF62" i="47" s="1"/>
  <c r="AN93" i="60"/>
  <c r="AN127" i="60" s="1"/>
  <c r="AK65" i="47" s="1"/>
  <c r="AM93" i="60"/>
  <c r="AM127" i="60" s="1"/>
  <c r="AJ65" i="47" s="1"/>
  <c r="AN92" i="60"/>
  <c r="AN117" i="60" s="1"/>
  <c r="AK78" i="47" s="1"/>
  <c r="P82" i="47"/>
  <c r="P76" i="47"/>
  <c r="P77" i="47"/>
  <c r="P80" i="47"/>
  <c r="AL92" i="60"/>
  <c r="AL117" i="60" s="1"/>
  <c r="AI78" i="47" s="1"/>
  <c r="AK92" i="60"/>
  <c r="AK117" i="60" s="1"/>
  <c r="AH78" i="47" s="1"/>
  <c r="AO92" i="60"/>
  <c r="AO117" i="60" s="1"/>
  <c r="AL78" i="47" s="1"/>
  <c r="AF92" i="60"/>
  <c r="AF117" i="60" s="1"/>
  <c r="AC78" i="47" s="1"/>
  <c r="AM92" i="60"/>
  <c r="AM117" i="60" s="1"/>
  <c r="AJ78" i="47" s="1"/>
  <c r="AJ92" i="60"/>
  <c r="AJ117" i="60" s="1"/>
  <c r="AG78" i="47" s="1"/>
  <c r="AC92" i="60"/>
  <c r="AC117" i="60" s="1"/>
  <c r="Z78" i="47" s="1"/>
  <c r="AD91" i="60"/>
  <c r="AD123" i="60" s="1"/>
  <c r="AA62" i="47" s="1"/>
  <c r="AM90" i="60"/>
  <c r="AM113" i="60" s="1"/>
  <c r="AJ75" i="47" s="1"/>
  <c r="AN90" i="60"/>
  <c r="AN113" i="60" s="1"/>
  <c r="AK75" i="47" s="1"/>
  <c r="M92" i="60"/>
  <c r="AC91" i="60"/>
  <c r="AC123" i="60" s="1"/>
  <c r="Z62" i="47" s="1"/>
  <c r="AK90" i="60"/>
  <c r="AK113" i="60" s="1"/>
  <c r="AH75" i="47" s="1"/>
  <c r="AB90" i="60"/>
  <c r="AB113" i="60" s="1"/>
  <c r="Y75" i="47" s="1"/>
  <c r="AB93" i="60"/>
  <c r="AB127" i="60" s="1"/>
  <c r="Y65" i="47" s="1"/>
  <c r="AP92" i="60"/>
  <c r="AP117" i="60" s="1"/>
  <c r="AM78" i="47" s="1"/>
  <c r="AH92" i="60"/>
  <c r="AH117" i="60" s="1"/>
  <c r="AE78" i="47" s="1"/>
  <c r="AI92" i="60"/>
  <c r="AI117" i="60" s="1"/>
  <c r="AF78" i="47" s="1"/>
  <c r="AE92" i="60"/>
  <c r="AE117" i="60" s="1"/>
  <c r="AB78" i="47" s="1"/>
  <c r="AI93" i="60"/>
  <c r="AI127" i="60" s="1"/>
  <c r="AF65" i="47" s="1"/>
  <c r="T101" i="60"/>
  <c r="P69" i="47"/>
  <c r="U116" i="60"/>
  <c r="Q79" i="47"/>
  <c r="T99" i="60"/>
  <c r="P70" i="47"/>
  <c r="T104" i="60"/>
  <c r="P73" i="47"/>
  <c r="T122" i="60"/>
  <c r="P63" i="47"/>
  <c r="T121" i="60"/>
  <c r="P64" i="47"/>
  <c r="U115" i="60"/>
  <c r="Q80" i="47"/>
  <c r="T105" i="60"/>
  <c r="P72" i="47"/>
  <c r="T100" i="60"/>
  <c r="P74" i="47"/>
  <c r="U124" i="60"/>
  <c r="Q67" i="47"/>
  <c r="U112" i="60"/>
  <c r="Q76" i="47"/>
  <c r="U110" i="60"/>
  <c r="Q77" i="47"/>
  <c r="T106" i="60"/>
  <c r="P71" i="47"/>
  <c r="U111" i="60"/>
  <c r="Q82" i="47"/>
  <c r="U114" i="60"/>
  <c r="Q81" i="47"/>
  <c r="T126" i="60"/>
  <c r="P66" i="47"/>
  <c r="M77" i="60"/>
  <c r="Q73" i="60"/>
  <c r="Q80" i="60" s="1"/>
  <c r="R97" i="60"/>
  <c r="AJ89" i="60"/>
  <c r="AJ102" i="60" s="1"/>
  <c r="AL89" i="60"/>
  <c r="AL102" i="60" s="1"/>
  <c r="AB89" i="60"/>
  <c r="AB102" i="60" s="1"/>
  <c r="AN89" i="60"/>
  <c r="AN102" i="60" s="1"/>
  <c r="AG89" i="60"/>
  <c r="AG102" i="60" s="1"/>
  <c r="AO89" i="60"/>
  <c r="AO102" i="60" s="1"/>
  <c r="AC89" i="60"/>
  <c r="AC102" i="60" s="1"/>
  <c r="AF89" i="60"/>
  <c r="AF102" i="60" s="1"/>
  <c r="AH89" i="60"/>
  <c r="AH102" i="60" s="1"/>
  <c r="AI89" i="60"/>
  <c r="AI102" i="60" s="1"/>
  <c r="AE89" i="60"/>
  <c r="AE102" i="60" s="1"/>
  <c r="AK89" i="60"/>
  <c r="AK102" i="60" s="1"/>
  <c r="AM89" i="60"/>
  <c r="AM102" i="60" s="1"/>
  <c r="M89" i="60"/>
  <c r="AD89" i="60"/>
  <c r="AD102" i="60" s="1"/>
  <c r="AP89" i="60"/>
  <c r="AP102" i="60" s="1"/>
  <c r="AJ74" i="60" l="1"/>
  <c r="AJ77" i="60" s="1"/>
  <c r="AG68" i="47"/>
  <c r="U122" i="60"/>
  <c r="Q63" i="47"/>
  <c r="AM74" i="60"/>
  <c r="AM77" i="60" s="1"/>
  <c r="AJ68" i="47"/>
  <c r="U126" i="60"/>
  <c r="Q66" i="47"/>
  <c r="AK74" i="60"/>
  <c r="AK77" i="60" s="1"/>
  <c r="AH68" i="47"/>
  <c r="AH74" i="60"/>
  <c r="AH77" i="60" s="1"/>
  <c r="AE68" i="47"/>
  <c r="V114" i="60"/>
  <c r="R81" i="47"/>
  <c r="U100" i="60"/>
  <c r="Q74" i="47"/>
  <c r="U99" i="60"/>
  <c r="Q70" i="47"/>
  <c r="V112" i="60"/>
  <c r="R76" i="47"/>
  <c r="AC74" i="60"/>
  <c r="AC77" i="60" s="1"/>
  <c r="Z68" i="47"/>
  <c r="V110" i="60"/>
  <c r="R77" i="47"/>
  <c r="AI74" i="60"/>
  <c r="AI77" i="60" s="1"/>
  <c r="AF68" i="47"/>
  <c r="AF74" i="60"/>
  <c r="AF77" i="60" s="1"/>
  <c r="AC68" i="47"/>
  <c r="V124" i="60"/>
  <c r="R67" i="47"/>
  <c r="AG74" i="60"/>
  <c r="AG77" i="60" s="1"/>
  <c r="AD68" i="47"/>
  <c r="AP74" i="60"/>
  <c r="AP77" i="60" s="1"/>
  <c r="AM68" i="47"/>
  <c r="AN74" i="60"/>
  <c r="AN77" i="60" s="1"/>
  <c r="AK68" i="47"/>
  <c r="V111" i="60"/>
  <c r="R82" i="47"/>
  <c r="U105" i="60"/>
  <c r="Q72" i="47"/>
  <c r="V116" i="60"/>
  <c r="R79" i="47"/>
  <c r="AE74" i="60"/>
  <c r="AE77" i="60" s="1"/>
  <c r="AB68" i="47"/>
  <c r="U104" i="60"/>
  <c r="Q73" i="47"/>
  <c r="AO74" i="60"/>
  <c r="AO77" i="60" s="1"/>
  <c r="AL68" i="47"/>
  <c r="AD74" i="60"/>
  <c r="AD77" i="60" s="1"/>
  <c r="AA68" i="47"/>
  <c r="AB74" i="60"/>
  <c r="AB77" i="60" s="1"/>
  <c r="Y68" i="47"/>
  <c r="U121" i="60"/>
  <c r="Q64" i="47"/>
  <c r="AL74" i="60"/>
  <c r="AL77" i="60" s="1"/>
  <c r="AI68" i="47"/>
  <c r="U106" i="60"/>
  <c r="Q71" i="47"/>
  <c r="V115" i="60"/>
  <c r="R80" i="47"/>
  <c r="U101" i="60"/>
  <c r="Q69" i="47"/>
  <c r="R73" i="60"/>
  <c r="R80" i="60" s="1"/>
  <c r="S97" i="60"/>
  <c r="W115" i="60" l="1"/>
  <c r="S80" i="47"/>
  <c r="V104" i="60"/>
  <c r="R73" i="47"/>
  <c r="V121" i="60"/>
  <c r="R64" i="47"/>
  <c r="W116" i="60"/>
  <c r="S79" i="47"/>
  <c r="W124" i="60"/>
  <c r="S67" i="47"/>
  <c r="V99" i="60"/>
  <c r="R70" i="47"/>
  <c r="W110" i="60"/>
  <c r="S77" i="47"/>
  <c r="W112" i="60"/>
  <c r="S76" i="47"/>
  <c r="V105" i="60"/>
  <c r="R72" i="47"/>
  <c r="V100" i="60"/>
  <c r="R74" i="47"/>
  <c r="V122" i="60"/>
  <c r="R63" i="47"/>
  <c r="V106" i="60"/>
  <c r="R71" i="47"/>
  <c r="V126" i="60"/>
  <c r="R66" i="47"/>
  <c r="V101" i="60"/>
  <c r="R69" i="47"/>
  <c r="W111" i="60"/>
  <c r="S82" i="47"/>
  <c r="W114" i="60"/>
  <c r="S81" i="47"/>
  <c r="S73" i="60"/>
  <c r="S80" i="60" s="1"/>
  <c r="T97" i="60"/>
  <c r="X116" i="60" l="1"/>
  <c r="T79" i="47"/>
  <c r="W105" i="60"/>
  <c r="S72" i="47"/>
  <c r="W121" i="60"/>
  <c r="S64" i="47"/>
  <c r="W100" i="60"/>
  <c r="S74" i="47"/>
  <c r="W122" i="60"/>
  <c r="S63" i="47"/>
  <c r="X112" i="60"/>
  <c r="T76" i="47"/>
  <c r="W104" i="60"/>
  <c r="S73" i="47"/>
  <c r="W106" i="60"/>
  <c r="S71" i="47"/>
  <c r="X124" i="60"/>
  <c r="T67" i="47"/>
  <c r="X114" i="60"/>
  <c r="T81" i="47"/>
  <c r="X111" i="60"/>
  <c r="T82" i="47"/>
  <c r="W101" i="60"/>
  <c r="S69" i="47"/>
  <c r="W99" i="60"/>
  <c r="S70" i="47"/>
  <c r="S66" i="47"/>
  <c r="W126" i="60"/>
  <c r="X110" i="60"/>
  <c r="T77" i="47"/>
  <c r="X115" i="60"/>
  <c r="T80" i="47"/>
  <c r="T73" i="60"/>
  <c r="T80" i="60" s="1"/>
  <c r="U97" i="60"/>
  <c r="X101" i="60" l="1"/>
  <c r="T69" i="47"/>
  <c r="Y112" i="60"/>
  <c r="U76" i="47"/>
  <c r="Y111" i="60"/>
  <c r="U82" i="47"/>
  <c r="Y114" i="60"/>
  <c r="U81" i="47"/>
  <c r="Y110" i="60"/>
  <c r="U77" i="47"/>
  <c r="Y124" i="60"/>
  <c r="U67" i="47"/>
  <c r="X121" i="60"/>
  <c r="T64" i="47"/>
  <c r="X122" i="60"/>
  <c r="T63" i="47"/>
  <c r="X100" i="60"/>
  <c r="T74" i="47"/>
  <c r="X106" i="60"/>
  <c r="T71" i="47"/>
  <c r="X105" i="60"/>
  <c r="T72" i="47"/>
  <c r="Y115" i="60"/>
  <c r="U80" i="47"/>
  <c r="X126" i="60"/>
  <c r="T66" i="47"/>
  <c r="X99" i="60"/>
  <c r="T70" i="47"/>
  <c r="X104" i="60"/>
  <c r="T73" i="47"/>
  <c r="Y116" i="60"/>
  <c r="U79" i="47"/>
  <c r="U73" i="60"/>
  <c r="U80" i="60" s="1"/>
  <c r="V97" i="60"/>
  <c r="Y100" i="60" l="1"/>
  <c r="U74" i="47"/>
  <c r="Z111" i="60"/>
  <c r="V82" i="47"/>
  <c r="Z114" i="60"/>
  <c r="V81" i="47"/>
  <c r="Z110" i="60"/>
  <c r="V77" i="47"/>
  <c r="Z116" i="60"/>
  <c r="V79" i="47"/>
  <c r="Y104" i="60"/>
  <c r="U73" i="47"/>
  <c r="Z112" i="60"/>
  <c r="V76" i="47"/>
  <c r="Z115" i="60"/>
  <c r="V80" i="47"/>
  <c r="Y105" i="60"/>
  <c r="U72" i="47"/>
  <c r="Y106" i="60"/>
  <c r="U71" i="47"/>
  <c r="Y122" i="60"/>
  <c r="U63" i="47"/>
  <c r="Z124" i="60"/>
  <c r="V67" i="47"/>
  <c r="Y99" i="60"/>
  <c r="U70" i="47"/>
  <c r="Y126" i="60"/>
  <c r="U66" i="47"/>
  <c r="Y121" i="60"/>
  <c r="U64" i="47"/>
  <c r="Y101" i="60"/>
  <c r="U69" i="47"/>
  <c r="V73" i="60"/>
  <c r="V80" i="60" s="1"/>
  <c r="W97" i="60"/>
  <c r="Z105" i="60" l="1"/>
  <c r="V72" i="47"/>
  <c r="AA114" i="60"/>
  <c r="W81" i="47"/>
  <c r="AA124" i="60"/>
  <c r="W67" i="47"/>
  <c r="Z122" i="60"/>
  <c r="V63" i="47"/>
  <c r="Z101" i="60"/>
  <c r="V69" i="47"/>
  <c r="AA110" i="60"/>
  <c r="W77" i="47"/>
  <c r="Z121" i="60"/>
  <c r="V64" i="47"/>
  <c r="AA115" i="60"/>
  <c r="W80" i="47"/>
  <c r="AA111" i="60"/>
  <c r="W82" i="47"/>
  <c r="Z104" i="60"/>
  <c r="V73" i="47"/>
  <c r="Z106" i="60"/>
  <c r="V71" i="47"/>
  <c r="Z126" i="60"/>
  <c r="V66" i="47"/>
  <c r="AA116" i="60"/>
  <c r="W79" i="47"/>
  <c r="Z99" i="60"/>
  <c r="V70" i="47"/>
  <c r="AA112" i="60"/>
  <c r="W76" i="47"/>
  <c r="Z100" i="60"/>
  <c r="V74" i="47"/>
  <c r="W73" i="60"/>
  <c r="W80" i="60" s="1"/>
  <c r="X97" i="60"/>
  <c r="AA126" i="60" l="1"/>
  <c r="W66" i="47"/>
  <c r="AB110" i="60"/>
  <c r="X77" i="47"/>
  <c r="AB111" i="60"/>
  <c r="X82" i="47"/>
  <c r="AB124" i="60"/>
  <c r="X67" i="47"/>
  <c r="AA100" i="60"/>
  <c r="W74" i="47"/>
  <c r="AA101" i="60"/>
  <c r="W69" i="47"/>
  <c r="AA99" i="60"/>
  <c r="W70" i="47"/>
  <c r="AB115" i="60"/>
  <c r="X80" i="47"/>
  <c r="AB114" i="60"/>
  <c r="X81" i="47"/>
  <c r="AA104" i="60"/>
  <c r="W73" i="47"/>
  <c r="AB112" i="60"/>
  <c r="X76" i="47"/>
  <c r="AA106" i="60"/>
  <c r="W71" i="47"/>
  <c r="AA122" i="60"/>
  <c r="W63" i="47"/>
  <c r="AB116" i="60"/>
  <c r="X79" i="47"/>
  <c r="AA121" i="60"/>
  <c r="W64" i="47"/>
  <c r="AA105" i="60"/>
  <c r="W72" i="47"/>
  <c r="X73" i="60"/>
  <c r="X80" i="60" s="1"/>
  <c r="Y97" i="60"/>
  <c r="AB104" i="60" l="1"/>
  <c r="X73" i="47"/>
  <c r="AC114" i="60"/>
  <c r="Y81" i="47"/>
  <c r="AC111" i="60"/>
  <c r="Y82" i="47"/>
  <c r="AB106" i="60"/>
  <c r="X71" i="47"/>
  <c r="AC112" i="60"/>
  <c r="Y76" i="47"/>
  <c r="AC124" i="60"/>
  <c r="Y67" i="47"/>
  <c r="AC116" i="60"/>
  <c r="Y79" i="47"/>
  <c r="AC115" i="60"/>
  <c r="Y80" i="47"/>
  <c r="AC110" i="60"/>
  <c r="Y77" i="47"/>
  <c r="AB100" i="60"/>
  <c r="X74" i="47"/>
  <c r="AB105" i="60"/>
  <c r="X72" i="47"/>
  <c r="AB121" i="60"/>
  <c r="X64" i="47"/>
  <c r="AB101" i="60"/>
  <c r="X69" i="47"/>
  <c r="AB122" i="60"/>
  <c r="X63" i="47"/>
  <c r="AB99" i="60"/>
  <c r="X70" i="47"/>
  <c r="AB126" i="60"/>
  <c r="X66" i="47"/>
  <c r="Z97" i="60"/>
  <c r="Y73" i="60"/>
  <c r="Y80" i="60" s="1"/>
  <c r="AC105" i="60" l="1"/>
  <c r="Y72" i="47"/>
  <c r="AC100" i="60"/>
  <c r="Y74" i="47"/>
  <c r="AD110" i="60"/>
  <c r="Z77" i="47"/>
  <c r="AD111" i="60"/>
  <c r="Z82" i="47"/>
  <c r="AD124" i="60"/>
  <c r="Z67" i="47"/>
  <c r="AC99" i="60"/>
  <c r="Y70" i="47"/>
  <c r="AC122" i="60"/>
  <c r="Y63" i="47"/>
  <c r="AD115" i="60"/>
  <c r="Z80" i="47"/>
  <c r="AD114" i="60"/>
  <c r="Z81" i="47"/>
  <c r="AC126" i="60"/>
  <c r="Y66" i="47"/>
  <c r="AC121" i="60"/>
  <c r="Y64" i="47"/>
  <c r="AD112" i="60"/>
  <c r="Z76" i="47"/>
  <c r="AC106" i="60"/>
  <c r="Y71" i="47"/>
  <c r="AC101" i="60"/>
  <c r="Y69" i="47"/>
  <c r="AD116" i="60"/>
  <c r="Z79" i="47"/>
  <c r="AC104" i="60"/>
  <c r="Y73" i="47"/>
  <c r="Z73" i="60"/>
  <c r="Z80" i="60" s="1"/>
  <c r="AA97" i="60"/>
  <c r="AE124" i="60" l="1"/>
  <c r="AA67" i="47"/>
  <c r="AE112" i="60"/>
  <c r="AA76" i="47"/>
  <c r="AE116" i="60"/>
  <c r="AA79" i="47"/>
  <c r="AE114" i="60"/>
  <c r="AA81" i="47"/>
  <c r="AE110" i="60"/>
  <c r="AA77" i="47"/>
  <c r="AD121" i="60"/>
  <c r="Z64" i="47"/>
  <c r="AD126" i="60"/>
  <c r="Z66" i="47"/>
  <c r="AD99" i="60"/>
  <c r="Z70" i="47"/>
  <c r="AD101" i="60"/>
  <c r="Z69" i="47"/>
  <c r="AE115" i="60"/>
  <c r="AA80" i="47"/>
  <c r="AD100" i="60"/>
  <c r="Z74" i="47"/>
  <c r="AD104" i="60"/>
  <c r="Z73" i="47"/>
  <c r="AE111" i="60"/>
  <c r="AA82" i="47"/>
  <c r="AD106" i="60"/>
  <c r="Z71" i="47"/>
  <c r="AD122" i="60"/>
  <c r="Z63" i="47"/>
  <c r="AD105" i="60"/>
  <c r="Z72" i="47"/>
  <c r="AA73" i="60"/>
  <c r="AA80" i="60" s="1"/>
  <c r="AB97" i="60"/>
  <c r="AE100" i="60" l="1"/>
  <c r="AA74" i="47"/>
  <c r="AE101" i="60"/>
  <c r="AA69" i="47"/>
  <c r="AF116" i="60"/>
  <c r="AB79" i="47"/>
  <c r="AF114" i="60"/>
  <c r="AB81" i="47"/>
  <c r="AE99" i="60"/>
  <c r="AA70" i="47"/>
  <c r="AF112" i="60"/>
  <c r="AB76" i="47"/>
  <c r="AE104" i="60"/>
  <c r="AA73" i="47"/>
  <c r="AF110" i="60"/>
  <c r="AB77" i="47"/>
  <c r="AF115" i="60"/>
  <c r="AB80" i="47"/>
  <c r="AE122" i="60"/>
  <c r="AA63" i="47"/>
  <c r="AE106" i="60"/>
  <c r="AA71" i="47"/>
  <c r="AE121" i="60"/>
  <c r="AA64" i="47"/>
  <c r="AE105" i="60"/>
  <c r="AA72" i="47"/>
  <c r="AF111" i="60"/>
  <c r="AB82" i="47"/>
  <c r="AE126" i="60"/>
  <c r="AA66" i="47"/>
  <c r="AF124" i="60"/>
  <c r="AB67" i="47"/>
  <c r="AC97" i="60"/>
  <c r="AB73" i="60"/>
  <c r="AF121" i="60" l="1"/>
  <c r="AB64" i="47"/>
  <c r="AF99" i="60"/>
  <c r="AB70" i="47"/>
  <c r="AG114" i="60"/>
  <c r="AC81" i="47"/>
  <c r="AF126" i="60"/>
  <c r="AB66" i="47"/>
  <c r="AG115" i="60"/>
  <c r="AC80" i="47"/>
  <c r="AG116" i="60"/>
  <c r="AC79" i="47"/>
  <c r="AG110" i="60"/>
  <c r="AC77" i="47"/>
  <c r="AF101" i="60"/>
  <c r="AB69" i="47"/>
  <c r="AG112" i="60"/>
  <c r="AC76" i="47"/>
  <c r="AF106" i="60"/>
  <c r="AB71" i="47"/>
  <c r="AF122" i="60"/>
  <c r="AB63" i="47"/>
  <c r="AG111" i="60"/>
  <c r="AC82" i="47"/>
  <c r="AG124" i="60"/>
  <c r="AC67" i="47"/>
  <c r="AF105" i="60"/>
  <c r="AB72" i="47"/>
  <c r="AF104" i="60"/>
  <c r="AB73" i="47"/>
  <c r="AF100" i="60"/>
  <c r="AB74" i="47"/>
  <c r="S76" i="60"/>
  <c r="N76" i="60"/>
  <c r="W76" i="60"/>
  <c r="Z76" i="60"/>
  <c r="AB80" i="60"/>
  <c r="X76" i="60"/>
  <c r="Y76" i="60"/>
  <c r="R75" i="60"/>
  <c r="Q75" i="60"/>
  <c r="Q76" i="60"/>
  <c r="O75" i="60"/>
  <c r="U75" i="60"/>
  <c r="R76" i="60"/>
  <c r="AA75" i="60"/>
  <c r="T76" i="60"/>
  <c r="AA76" i="60"/>
  <c r="P76" i="60"/>
  <c r="U76" i="60"/>
  <c r="P75" i="60"/>
  <c r="O76" i="60"/>
  <c r="V76" i="60"/>
  <c r="V75" i="60"/>
  <c r="X75" i="60"/>
  <c r="Z75" i="60"/>
  <c r="Y75" i="60"/>
  <c r="W75" i="60"/>
  <c r="N75" i="60"/>
  <c r="N77" i="60" s="1"/>
  <c r="S75" i="60"/>
  <c r="T75" i="60"/>
  <c r="AC73" i="60"/>
  <c r="AC80" i="60" s="1"/>
  <c r="AD97" i="60"/>
  <c r="O77" i="60" l="1"/>
  <c r="AH111" i="60"/>
  <c r="AD82" i="47"/>
  <c r="AH116" i="60"/>
  <c r="AD79" i="47"/>
  <c r="AH115" i="60"/>
  <c r="AD80" i="47"/>
  <c r="AG126" i="60"/>
  <c r="AC66" i="47"/>
  <c r="AG104" i="60"/>
  <c r="AC73" i="47"/>
  <c r="AH112" i="60"/>
  <c r="AD76" i="47"/>
  <c r="AH114" i="60"/>
  <c r="AD81" i="47"/>
  <c r="AG100" i="60"/>
  <c r="AC74" i="47"/>
  <c r="AG101" i="60"/>
  <c r="AC69" i="47"/>
  <c r="AG99" i="60"/>
  <c r="AC70" i="47"/>
  <c r="AG105" i="60"/>
  <c r="AC72" i="47"/>
  <c r="AG122" i="60"/>
  <c r="AC63" i="47"/>
  <c r="AG106" i="60"/>
  <c r="AC71" i="47"/>
  <c r="AH124" i="60"/>
  <c r="AD67" i="47"/>
  <c r="AH110" i="60"/>
  <c r="AD77" i="47"/>
  <c r="AG121" i="60"/>
  <c r="AC64" i="47"/>
  <c r="X92" i="60"/>
  <c r="X117" i="60" s="1"/>
  <c r="U78" i="47" s="1"/>
  <c r="X90" i="60"/>
  <c r="X113" i="60" s="1"/>
  <c r="U75" i="47" s="1"/>
  <c r="X91" i="60"/>
  <c r="X123" i="60" s="1"/>
  <c r="U62" i="47" s="1"/>
  <c r="X93" i="60"/>
  <c r="X127" i="60" s="1"/>
  <c r="U65" i="47" s="1"/>
  <c r="X89" i="60"/>
  <c r="X102" i="60" s="1"/>
  <c r="U68" i="47" s="1"/>
  <c r="R91" i="60"/>
  <c r="R123" i="60" s="1"/>
  <c r="O62" i="47" s="1"/>
  <c r="R90" i="60"/>
  <c r="R113" i="60" s="1"/>
  <c r="O75" i="47" s="1"/>
  <c r="R93" i="60"/>
  <c r="R127" i="60" s="1"/>
  <c r="O65" i="47" s="1"/>
  <c r="R92" i="60"/>
  <c r="R117" i="60" s="1"/>
  <c r="O78" i="47" s="1"/>
  <c r="R89" i="60"/>
  <c r="R102" i="60" s="1"/>
  <c r="O68" i="47" s="1"/>
  <c r="Z92" i="60"/>
  <c r="Z117" i="60" s="1"/>
  <c r="W78" i="47" s="1"/>
  <c r="Z93" i="60"/>
  <c r="Z127" i="60" s="1"/>
  <c r="W65" i="47" s="1"/>
  <c r="Z91" i="60"/>
  <c r="Z123" i="60" s="1"/>
  <c r="W62" i="47" s="1"/>
  <c r="Z90" i="60"/>
  <c r="Z113" i="60" s="1"/>
  <c r="W75" i="47" s="1"/>
  <c r="Z89" i="60"/>
  <c r="Z102" i="60" s="1"/>
  <c r="W68" i="47" s="1"/>
  <c r="T92" i="60"/>
  <c r="T117" i="60" s="1"/>
  <c r="Q78" i="47" s="1"/>
  <c r="T90" i="60"/>
  <c r="T113" i="60" s="1"/>
  <c r="Q75" i="47" s="1"/>
  <c r="T91" i="60"/>
  <c r="T123" i="60" s="1"/>
  <c r="Q62" i="47" s="1"/>
  <c r="T93" i="60"/>
  <c r="T127" i="60" s="1"/>
  <c r="Q65" i="47" s="1"/>
  <c r="T89" i="60"/>
  <c r="T102" i="60" s="1"/>
  <c r="Q68" i="47" s="1"/>
  <c r="U90" i="60"/>
  <c r="U113" i="60" s="1"/>
  <c r="R75" i="47" s="1"/>
  <c r="U92" i="60"/>
  <c r="U117" i="60" s="1"/>
  <c r="R78" i="47" s="1"/>
  <c r="U91" i="60"/>
  <c r="U123" i="60" s="1"/>
  <c r="R62" i="47" s="1"/>
  <c r="U93" i="60"/>
  <c r="U127" i="60" s="1"/>
  <c r="R65" i="47" s="1"/>
  <c r="U89" i="60"/>
  <c r="U102" i="60" s="1"/>
  <c r="R68" i="47" s="1"/>
  <c r="Q92" i="60"/>
  <c r="Q117" i="60" s="1"/>
  <c r="N78" i="47" s="1"/>
  <c r="Q91" i="60"/>
  <c r="Q123" i="60" s="1"/>
  <c r="N62" i="47" s="1"/>
  <c r="Q90" i="60"/>
  <c r="Q113" i="60" s="1"/>
  <c r="N75" i="47" s="1"/>
  <c r="Q93" i="60"/>
  <c r="Q127" i="60" s="1"/>
  <c r="N65" i="47" s="1"/>
  <c r="Q89" i="60"/>
  <c r="Q102" i="60" s="1"/>
  <c r="N68" i="47" s="1"/>
  <c r="AD73" i="60"/>
  <c r="AD80" i="60" s="1"/>
  <c r="AE97" i="60"/>
  <c r="S93" i="60"/>
  <c r="S127" i="60" s="1"/>
  <c r="P65" i="47" s="1"/>
  <c r="S90" i="60"/>
  <c r="S113" i="60" s="1"/>
  <c r="P75" i="47" s="1"/>
  <c r="S92" i="60"/>
  <c r="S117" i="60" s="1"/>
  <c r="P78" i="47" s="1"/>
  <c r="S91" i="60"/>
  <c r="S123" i="60" s="1"/>
  <c r="P62" i="47" s="1"/>
  <c r="S89" i="60"/>
  <c r="S102" i="60" s="1"/>
  <c r="P68" i="47" s="1"/>
  <c r="P93" i="60"/>
  <c r="P127" i="60" s="1"/>
  <c r="M65" i="47" s="1"/>
  <c r="P90" i="60"/>
  <c r="P113" i="60" s="1"/>
  <c r="M75" i="47" s="1"/>
  <c r="P91" i="60"/>
  <c r="P123" i="60" s="1"/>
  <c r="M62" i="47" s="1"/>
  <c r="P89" i="60"/>
  <c r="P102" i="60" s="1"/>
  <c r="M68" i="47" s="1"/>
  <c r="W93" i="60"/>
  <c r="W127" i="60" s="1"/>
  <c r="T65" i="47" s="1"/>
  <c r="W91" i="60"/>
  <c r="W123" i="60" s="1"/>
  <c r="T62" i="47" s="1"/>
  <c r="W92" i="60"/>
  <c r="W117" i="60" s="1"/>
  <c r="T78" i="47" s="1"/>
  <c r="W90" i="60"/>
  <c r="W113" i="60" s="1"/>
  <c r="T75" i="47" s="1"/>
  <c r="W89" i="60"/>
  <c r="W102" i="60" s="1"/>
  <c r="T68" i="47" s="1"/>
  <c r="V93" i="60"/>
  <c r="V127" i="60" s="1"/>
  <c r="S65" i="47" s="1"/>
  <c r="V92" i="60"/>
  <c r="V117" i="60" s="1"/>
  <c r="S78" i="47" s="1"/>
  <c r="V91" i="60"/>
  <c r="V123" i="60" s="1"/>
  <c r="S62" i="47" s="1"/>
  <c r="V90" i="60"/>
  <c r="V113" i="60" s="1"/>
  <c r="S75" i="47" s="1"/>
  <c r="V89" i="60"/>
  <c r="V102" i="60" s="1"/>
  <c r="S68" i="47" s="1"/>
  <c r="AA90" i="60"/>
  <c r="AA113" i="60" s="1"/>
  <c r="X75" i="47" s="1"/>
  <c r="AA93" i="60"/>
  <c r="AA127" i="60" s="1"/>
  <c r="X65" i="47" s="1"/>
  <c r="AA92" i="60"/>
  <c r="AA117" i="60" s="1"/>
  <c r="X78" i="47" s="1"/>
  <c r="AA91" i="60"/>
  <c r="AA123" i="60" s="1"/>
  <c r="X62" i="47" s="1"/>
  <c r="AA89" i="60"/>
  <c r="AA102" i="60" s="1"/>
  <c r="Y93" i="60"/>
  <c r="Y127" i="60" s="1"/>
  <c r="V65" i="47" s="1"/>
  <c r="Y92" i="60"/>
  <c r="Y117" i="60" s="1"/>
  <c r="V78" i="47" s="1"/>
  <c r="Y90" i="60"/>
  <c r="Y113" i="60" s="1"/>
  <c r="V75" i="47" s="1"/>
  <c r="Y91" i="60"/>
  <c r="Y123" i="60" s="1"/>
  <c r="V62" i="47" s="1"/>
  <c r="Y89" i="60"/>
  <c r="Y102" i="60" s="1"/>
  <c r="V68" i="47" s="1"/>
  <c r="AH105" i="60" l="1"/>
  <c r="AD72" i="47"/>
  <c r="AH104" i="60"/>
  <c r="AD73" i="47"/>
  <c r="AH121" i="60"/>
  <c r="AD64" i="47"/>
  <c r="AH99" i="60"/>
  <c r="AD70" i="47"/>
  <c r="AH126" i="60"/>
  <c r="AD66" i="47"/>
  <c r="AH122" i="60"/>
  <c r="AD63" i="47"/>
  <c r="AI110" i="60"/>
  <c r="AE77" i="47"/>
  <c r="AH101" i="60"/>
  <c r="AD69" i="47"/>
  <c r="AI115" i="60"/>
  <c r="AE80" i="47"/>
  <c r="AI112" i="60"/>
  <c r="AE76" i="47"/>
  <c r="AA74" i="60"/>
  <c r="AA77" i="60" s="1"/>
  <c r="X68" i="47"/>
  <c r="AI124" i="60"/>
  <c r="AE67" i="47"/>
  <c r="AH100" i="60"/>
  <c r="AD74" i="47"/>
  <c r="AI116" i="60"/>
  <c r="AE79" i="47"/>
  <c r="AH106" i="60"/>
  <c r="AD71" i="47"/>
  <c r="AI114" i="60"/>
  <c r="AE81" i="47"/>
  <c r="AI111" i="60"/>
  <c r="AE82" i="47"/>
  <c r="P74" i="60"/>
  <c r="P77" i="60" s="1"/>
  <c r="X74" i="60"/>
  <c r="X77" i="60" s="1"/>
  <c r="W74" i="60"/>
  <c r="W77" i="60" s="1"/>
  <c r="V74" i="60"/>
  <c r="V77" i="60" s="1"/>
  <c r="T74" i="60"/>
  <c r="T77" i="60" s="1"/>
  <c r="Z74" i="60"/>
  <c r="Z77" i="60" s="1"/>
  <c r="U74" i="60"/>
  <c r="U77" i="60" s="1"/>
  <c r="S74" i="60"/>
  <c r="S77" i="60" s="1"/>
  <c r="Q74" i="60"/>
  <c r="Q77" i="60" s="1"/>
  <c r="R74" i="60"/>
  <c r="R77" i="60" s="1"/>
  <c r="AE73" i="60"/>
  <c r="AE80" i="60" s="1"/>
  <c r="AF97" i="60"/>
  <c r="Y74" i="60"/>
  <c r="Y77" i="60" s="1"/>
  <c r="AJ124" i="60" l="1"/>
  <c r="AF67" i="47"/>
  <c r="AI126" i="60"/>
  <c r="AE66" i="47"/>
  <c r="AJ114" i="60"/>
  <c r="AF81" i="47"/>
  <c r="AI106" i="60"/>
  <c r="AE71" i="47"/>
  <c r="AJ115" i="60"/>
  <c r="AF80" i="47"/>
  <c r="AI121" i="60"/>
  <c r="AE64" i="47"/>
  <c r="AI122" i="60"/>
  <c r="AE63" i="47"/>
  <c r="AJ112" i="60"/>
  <c r="AF76" i="47"/>
  <c r="AJ116" i="60"/>
  <c r="AF79" i="47"/>
  <c r="AI101" i="60"/>
  <c r="AE69" i="47"/>
  <c r="AI104" i="60"/>
  <c r="AE73" i="47"/>
  <c r="AJ111" i="60"/>
  <c r="AF82" i="47"/>
  <c r="AI99" i="60"/>
  <c r="AE70" i="47"/>
  <c r="AI100" i="60"/>
  <c r="AE74" i="47"/>
  <c r="AJ110" i="60"/>
  <c r="AF77" i="47"/>
  <c r="AI105" i="60"/>
  <c r="AE72" i="47"/>
  <c r="AF73" i="60"/>
  <c r="AF80" i="60" s="1"/>
  <c r="AG97" i="60"/>
  <c r="AJ121" i="60" l="1"/>
  <c r="AF64" i="47"/>
  <c r="AK115" i="60"/>
  <c r="AG80" i="47"/>
  <c r="AJ105" i="60"/>
  <c r="AF72" i="47"/>
  <c r="AK110" i="60"/>
  <c r="AG77" i="47"/>
  <c r="AK116" i="60"/>
  <c r="AG79" i="47"/>
  <c r="AK114" i="60"/>
  <c r="AG81" i="47"/>
  <c r="AJ100" i="60"/>
  <c r="AF74" i="47"/>
  <c r="AK112" i="60"/>
  <c r="AG76" i="47"/>
  <c r="AJ126" i="60"/>
  <c r="AF66" i="47"/>
  <c r="AK111" i="60"/>
  <c r="AG82" i="47"/>
  <c r="AJ106" i="60"/>
  <c r="AF71" i="47"/>
  <c r="AJ104" i="60"/>
  <c r="AF73" i="47"/>
  <c r="AJ101" i="60"/>
  <c r="AF69" i="47"/>
  <c r="AJ99" i="60"/>
  <c r="AF70" i="47"/>
  <c r="AJ122" i="60"/>
  <c r="AF63" i="47"/>
  <c r="AK124" i="60"/>
  <c r="AG67" i="47"/>
  <c r="AG73" i="60"/>
  <c r="AG80" i="60" s="1"/>
  <c r="AH97" i="60"/>
  <c r="AK106" i="60" l="1"/>
  <c r="AG71" i="47"/>
  <c r="AL110" i="60"/>
  <c r="AH77" i="47"/>
  <c r="AK105" i="60"/>
  <c r="AG72" i="47"/>
  <c r="AL111" i="60"/>
  <c r="AH82" i="47"/>
  <c r="AK126" i="60"/>
  <c r="AG66" i="47"/>
  <c r="AK99" i="60"/>
  <c r="AG70" i="47"/>
  <c r="AL112" i="60"/>
  <c r="AH76" i="47"/>
  <c r="AL115" i="60"/>
  <c r="AH80" i="47"/>
  <c r="AK104" i="60"/>
  <c r="AG73" i="47"/>
  <c r="AL116" i="60"/>
  <c r="AH79" i="47"/>
  <c r="AL124" i="60"/>
  <c r="AH67" i="47"/>
  <c r="AL114" i="60"/>
  <c r="AH81" i="47"/>
  <c r="AK122" i="60"/>
  <c r="AG63" i="47"/>
  <c r="AK101" i="60"/>
  <c r="AG69" i="47"/>
  <c r="AK100" i="60"/>
  <c r="AG74" i="47"/>
  <c r="AK121" i="60"/>
  <c r="AG64" i="47"/>
  <c r="AH73" i="60"/>
  <c r="AH80" i="60" s="1"/>
  <c r="AI97" i="60"/>
  <c r="AM114" i="60" l="1"/>
  <c r="AI81" i="47"/>
  <c r="AL126" i="60"/>
  <c r="AH66" i="47"/>
  <c r="AL104" i="60"/>
  <c r="AH73" i="47"/>
  <c r="AL105" i="60"/>
  <c r="AH72" i="47"/>
  <c r="AL99" i="60"/>
  <c r="AH70" i="47"/>
  <c r="AM111" i="60"/>
  <c r="AI82" i="47"/>
  <c r="AL101" i="60"/>
  <c r="AH69" i="47"/>
  <c r="AM115" i="60"/>
  <c r="AI80" i="47"/>
  <c r="AM110" i="60"/>
  <c r="AI77" i="47"/>
  <c r="AL121" i="60"/>
  <c r="AH64" i="47"/>
  <c r="AL100" i="60"/>
  <c r="AH74" i="47"/>
  <c r="AM124" i="60"/>
  <c r="AI67" i="47"/>
  <c r="AM116" i="60"/>
  <c r="AI79" i="47"/>
  <c r="AL122" i="60"/>
  <c r="AH63" i="47"/>
  <c r="AM112" i="60"/>
  <c r="AI76" i="47"/>
  <c r="AL106" i="60"/>
  <c r="AH71" i="47"/>
  <c r="AI73" i="60"/>
  <c r="AI80" i="60" s="1"/>
  <c r="AJ97" i="60"/>
  <c r="AM100" i="60" l="1"/>
  <c r="AI74" i="47"/>
  <c r="AN111" i="60"/>
  <c r="AJ82" i="47"/>
  <c r="AM106" i="60"/>
  <c r="AI71" i="47"/>
  <c r="AM105" i="60"/>
  <c r="AI72" i="47"/>
  <c r="AN110" i="60"/>
  <c r="AJ77" i="47"/>
  <c r="AM104" i="60"/>
  <c r="AI73" i="47"/>
  <c r="AM99" i="60"/>
  <c r="AI70" i="47"/>
  <c r="AM121" i="60"/>
  <c r="AI64" i="47"/>
  <c r="AN112" i="60"/>
  <c r="AJ76" i="47"/>
  <c r="AM122" i="60"/>
  <c r="AI63" i="47"/>
  <c r="AN115" i="60"/>
  <c r="AJ80" i="47"/>
  <c r="AM126" i="60"/>
  <c r="AI66" i="47"/>
  <c r="AN124" i="60"/>
  <c r="AJ67" i="47"/>
  <c r="AN116" i="60"/>
  <c r="AJ79" i="47"/>
  <c r="AM101" i="60"/>
  <c r="AI69" i="47"/>
  <c r="AN114" i="60"/>
  <c r="AJ81" i="47"/>
  <c r="AJ73" i="60"/>
  <c r="AJ80" i="60" s="1"/>
  <c r="AK97" i="60"/>
  <c r="AO114" i="60" l="1"/>
  <c r="AK81" i="47"/>
  <c r="AN126" i="60"/>
  <c r="AJ66" i="47"/>
  <c r="AO115" i="60"/>
  <c r="AK80" i="47"/>
  <c r="AN106" i="60"/>
  <c r="AJ71" i="47"/>
  <c r="AN104" i="60"/>
  <c r="AJ73" i="47"/>
  <c r="AN121" i="60"/>
  <c r="AJ64" i="47"/>
  <c r="AO111" i="60"/>
  <c r="AK82" i="47"/>
  <c r="AO110" i="60"/>
  <c r="AK77" i="47"/>
  <c r="AN122" i="60"/>
  <c r="AJ63" i="47"/>
  <c r="AN101" i="60"/>
  <c r="AJ69" i="47"/>
  <c r="AN105" i="60"/>
  <c r="AJ72" i="47"/>
  <c r="AO112" i="60"/>
  <c r="AK76" i="47"/>
  <c r="AO116" i="60"/>
  <c r="AK79" i="47"/>
  <c r="AO124" i="60"/>
  <c r="AK67" i="47"/>
  <c r="AN99" i="60"/>
  <c r="AJ70" i="47"/>
  <c r="AN100" i="60"/>
  <c r="AJ74" i="47"/>
  <c r="AK73" i="60"/>
  <c r="AK80" i="60" s="1"/>
  <c r="AL97" i="60"/>
  <c r="AL76" i="47" l="1"/>
  <c r="AP112" i="60"/>
  <c r="AM76" i="47" s="1"/>
  <c r="AO121" i="60"/>
  <c r="AK64" i="47"/>
  <c r="AO101" i="60"/>
  <c r="AK69" i="47"/>
  <c r="AO99" i="60"/>
  <c r="AK70" i="47"/>
  <c r="AO122" i="60"/>
  <c r="AK63" i="47"/>
  <c r="AL80" i="47"/>
  <c r="AP115" i="60"/>
  <c r="AM80" i="47" s="1"/>
  <c r="AO104" i="60"/>
  <c r="AK73" i="47"/>
  <c r="AP124" i="60"/>
  <c r="AM67" i="47" s="1"/>
  <c r="AL67" i="47"/>
  <c r="AL77" i="47"/>
  <c r="AP110" i="60"/>
  <c r="AM77" i="47" s="1"/>
  <c r="AO126" i="60"/>
  <c r="AK66" i="47"/>
  <c r="AO100" i="60"/>
  <c r="AK74" i="47"/>
  <c r="AO105" i="60"/>
  <c r="AK72" i="47"/>
  <c r="AO106" i="60"/>
  <c r="AK71" i="47"/>
  <c r="AL79" i="47"/>
  <c r="AP116" i="60"/>
  <c r="AM79" i="47" s="1"/>
  <c r="AL82" i="47"/>
  <c r="AP111" i="60"/>
  <c r="AM82" i="47" s="1"/>
  <c r="AL81" i="47"/>
  <c r="AP114" i="60"/>
  <c r="AM81" i="47" s="1"/>
  <c r="AL73" i="60"/>
  <c r="AL80" i="60" s="1"/>
  <c r="AM97" i="60"/>
  <c r="AL72" i="47" l="1"/>
  <c r="AP105" i="60"/>
  <c r="AM72" i="47" s="1"/>
  <c r="AP122" i="60"/>
  <c r="AM63" i="47" s="1"/>
  <c r="AL63" i="47"/>
  <c r="AL70" i="47"/>
  <c r="AP99" i="60"/>
  <c r="AM70" i="47" s="1"/>
  <c r="AL69" i="47"/>
  <c r="AP101" i="60"/>
  <c r="AM69" i="47" s="1"/>
  <c r="AP126" i="60"/>
  <c r="AM66" i="47" s="1"/>
  <c r="AL66" i="47"/>
  <c r="AP121" i="60"/>
  <c r="AM64" i="47" s="1"/>
  <c r="AL64" i="47"/>
  <c r="AL74" i="47"/>
  <c r="AP100" i="60"/>
  <c r="AM74" i="47" s="1"/>
  <c r="AL71" i="47"/>
  <c r="AP106" i="60"/>
  <c r="AM71" i="47" s="1"/>
  <c r="AL73" i="47"/>
  <c r="AP104" i="60"/>
  <c r="AM73" i="47" s="1"/>
  <c r="AM73" i="60"/>
  <c r="AM80" i="60" s="1"/>
  <c r="AN97" i="60"/>
  <c r="AN73" i="60" l="1"/>
  <c r="AN80" i="60" s="1"/>
  <c r="AO97" i="60"/>
  <c r="AP97" i="60" l="1"/>
  <c r="AP73" i="60" s="1"/>
  <c r="AP80" i="60" s="1"/>
  <c r="AO73" i="60"/>
  <c r="AO80" i="60" s="1"/>
  <c r="T75" i="56" l="1"/>
  <c r="T91" i="56" s="1"/>
  <c r="R75" i="56"/>
  <c r="R91" i="56" s="1"/>
  <c r="S75" i="56"/>
  <c r="S91" i="56" s="1"/>
  <c r="D3" i="56"/>
  <c r="S12" i="56"/>
  <c r="AA12" i="56" s="1"/>
  <c r="AA4" i="56"/>
  <c r="Q75" i="56"/>
  <c r="Q91" i="56" s="1"/>
  <c r="D3" i="57"/>
  <c r="Q12" i="56"/>
  <c r="Y12" i="56" s="1"/>
  <c r="E96" i="57"/>
  <c r="AA75" i="56" l="1"/>
  <c r="AA91" i="56" s="1"/>
  <c r="Y75" i="56"/>
  <c r="Y91" i="56" s="1"/>
  <c r="Y185" i="57"/>
  <c r="Z185" i="57"/>
  <c r="AA185" i="57"/>
  <c r="AB185" i="57"/>
  <c r="AC185" i="57"/>
  <c r="AD185" i="57"/>
  <c r="AE185" i="57"/>
  <c r="AF185" i="57"/>
  <c r="AG185" i="57"/>
  <c r="AH185" i="57"/>
  <c r="AI185" i="57"/>
  <c r="AJ185" i="57"/>
  <c r="AK185" i="57"/>
  <c r="AL185" i="57"/>
  <c r="AM185" i="57"/>
  <c r="AN185" i="57"/>
  <c r="AO185" i="57"/>
  <c r="AP185" i="57"/>
  <c r="AQ185" i="57"/>
  <c r="AR185" i="57"/>
  <c r="X185" i="57"/>
  <c r="W185" i="57"/>
  <c r="Y138" i="57"/>
  <c r="Y137" i="57"/>
  <c r="Y94" i="57"/>
  <c r="Z94" i="57"/>
  <c r="Y98" i="57"/>
  <c r="Z98" i="57"/>
  <c r="Y102" i="57"/>
  <c r="Z102" i="57"/>
  <c r="AA103" i="57"/>
  <c r="V76" i="57"/>
  <c r="U76" i="57"/>
  <c r="T76" i="57"/>
  <c r="Z79" i="57"/>
  <c r="AA79" i="57"/>
  <c r="AB79" i="57"/>
  <c r="Z88" i="57"/>
  <c r="AA88" i="57"/>
  <c r="AB88" i="57"/>
  <c r="Z89" i="57"/>
  <c r="AA89" i="57"/>
  <c r="AB89" i="57"/>
  <c r="AE12" i="57"/>
  <c r="AE63" i="57" s="1"/>
  <c r="AE24" i="57" l="1"/>
  <c r="AE53" i="57"/>
  <c r="AE76" i="57"/>
  <c r="AE148" i="57"/>
  <c r="AE160" i="57"/>
  <c r="AE171" i="57" s="1"/>
  <c r="AC12" i="57"/>
  <c r="E197" i="57"/>
  <c r="F197" i="57"/>
  <c r="G197" i="57"/>
  <c r="H197" i="57"/>
  <c r="I197" i="57"/>
  <c r="J197" i="57"/>
  <c r="K197" i="57"/>
  <c r="L197" i="57"/>
  <c r="Q138" i="57"/>
  <c r="H185" i="57"/>
  <c r="I185" i="57"/>
  <c r="J185" i="57"/>
  <c r="G160" i="57"/>
  <c r="H160" i="57"/>
  <c r="I160" i="57"/>
  <c r="J160" i="57"/>
  <c r="K160" i="57"/>
  <c r="L160" i="57"/>
  <c r="M160" i="57"/>
  <c r="G148" i="57"/>
  <c r="H148" i="57"/>
  <c r="I148" i="57"/>
  <c r="J148" i="57"/>
  <c r="K148" i="57"/>
  <c r="L148" i="57"/>
  <c r="M148" i="57"/>
  <c r="H171" i="57"/>
  <c r="I171" i="57"/>
  <c r="J171" i="57"/>
  <c r="V160" i="57"/>
  <c r="V171" i="57" s="1"/>
  <c r="V185" i="57" s="1"/>
  <c r="U160" i="57"/>
  <c r="U171" i="57" s="1"/>
  <c r="U185" i="57" s="1"/>
  <c r="T160" i="57"/>
  <c r="T171" i="57" s="1"/>
  <c r="T185" i="57" s="1"/>
  <c r="V148" i="57"/>
  <c r="U148" i="57"/>
  <c r="T148" i="57"/>
  <c r="V131" i="57"/>
  <c r="U131" i="57"/>
  <c r="T131" i="57"/>
  <c r="V72" i="57"/>
  <c r="U72" i="57"/>
  <c r="T72" i="57"/>
  <c r="T113" i="57"/>
  <c r="U113" i="57"/>
  <c r="V113" i="57"/>
  <c r="Q137" i="57"/>
  <c r="R102" i="57"/>
  <c r="R98" i="57"/>
  <c r="AA98" i="57" s="1"/>
  <c r="R94" i="57"/>
  <c r="AA94" i="57" s="1"/>
  <c r="S94" i="57"/>
  <c r="AB94" i="57" s="1"/>
  <c r="O94" i="57"/>
  <c r="X94" i="57" s="1"/>
  <c r="O103" i="57"/>
  <c r="O102" i="57"/>
  <c r="X102" i="57" s="1"/>
  <c r="O99" i="57"/>
  <c r="O98" i="57"/>
  <c r="X98" i="57" s="1"/>
  <c r="O95" i="57"/>
  <c r="O79" i="57"/>
  <c r="O78" i="57"/>
  <c r="O84" i="57"/>
  <c r="O83" i="57"/>
  <c r="O89" i="57"/>
  <c r="O88" i="57"/>
  <c r="P78" i="57" l="1"/>
  <c r="X78" i="57"/>
  <c r="R137" i="57"/>
  <c r="Z137" i="57"/>
  <c r="R138" i="57"/>
  <c r="Z138" i="57"/>
  <c r="P79" i="57"/>
  <c r="Y79" i="57" s="1"/>
  <c r="X79" i="57"/>
  <c r="P89" i="57"/>
  <c r="Y89" i="57" s="1"/>
  <c r="X89" i="57"/>
  <c r="P95" i="57"/>
  <c r="Y95" i="57" s="1"/>
  <c r="X95" i="57"/>
  <c r="P103" i="57"/>
  <c r="Y103" i="57" s="1"/>
  <c r="Y104" i="57" s="1"/>
  <c r="X103" i="57"/>
  <c r="AC53" i="57"/>
  <c r="AC76" i="57"/>
  <c r="AC160" i="57"/>
  <c r="AC171" i="57" s="1"/>
  <c r="AC63" i="57"/>
  <c r="AC148" i="57"/>
  <c r="AC24" i="57"/>
  <c r="P99" i="57"/>
  <c r="X99" i="57"/>
  <c r="P88" i="57"/>
  <c r="Y88" i="57" s="1"/>
  <c r="X88" i="57"/>
  <c r="P83" i="57"/>
  <c r="X83" i="57"/>
  <c r="P84" i="57"/>
  <c r="X84" i="57"/>
  <c r="R104" i="57"/>
  <c r="AA102" i="57"/>
  <c r="AA104" i="57" s="1"/>
  <c r="S102" i="57"/>
  <c r="AB102" i="57" s="1"/>
  <c r="S98" i="57"/>
  <c r="AB98" i="57" s="1"/>
  <c r="O48" i="57"/>
  <c r="X48" i="57" s="1"/>
  <c r="Q103" i="57" l="1"/>
  <c r="P96" i="57"/>
  <c r="Y96" i="57" s="1"/>
  <c r="P104" i="57"/>
  <c r="Q99" i="57"/>
  <c r="Y99" i="57"/>
  <c r="S138" i="57"/>
  <c r="AB138" i="57" s="1"/>
  <c r="AA138" i="57"/>
  <c r="P100" i="57"/>
  <c r="Y100" i="57" s="1"/>
  <c r="Q78" i="57"/>
  <c r="Z78" i="57" s="1"/>
  <c r="Y78" i="57"/>
  <c r="Q95" i="57"/>
  <c r="Q84" i="57"/>
  <c r="Y84" i="57"/>
  <c r="S137" i="57"/>
  <c r="AB137" i="57" s="1"/>
  <c r="AA137" i="57"/>
  <c r="Q83" i="57"/>
  <c r="Y83" i="57"/>
  <c r="Q104" i="57" l="1"/>
  <c r="Z103" i="57"/>
  <c r="Z104" i="57" s="1"/>
  <c r="R95" i="57"/>
  <c r="Z95" i="57"/>
  <c r="Q96" i="57"/>
  <c r="Z96" i="57" s="1"/>
  <c r="R83" i="57"/>
  <c r="Z83" i="57"/>
  <c r="Z99" i="57"/>
  <c r="Q100" i="57"/>
  <c r="Z100" i="57" s="1"/>
  <c r="R99" i="57"/>
  <c r="R84" i="57"/>
  <c r="Z84" i="57"/>
  <c r="S84" i="57" l="1"/>
  <c r="AA84" i="57"/>
  <c r="S99" i="57"/>
  <c r="AA99" i="57"/>
  <c r="R100" i="57"/>
  <c r="AA100" i="57" s="1"/>
  <c r="S83" i="57"/>
  <c r="AB83" i="57" s="1"/>
  <c r="AA83" i="57"/>
  <c r="R96" i="57"/>
  <c r="AA96" i="57" s="1"/>
  <c r="AA95" i="57"/>
  <c r="S95" i="57"/>
  <c r="V18" i="57"/>
  <c r="U18" i="57"/>
  <c r="T18" i="57"/>
  <c r="O18" i="57"/>
  <c r="AD12" i="57"/>
  <c r="K53" i="57"/>
  <c r="K63" i="57" s="1"/>
  <c r="L53" i="57"/>
  <c r="L63" i="57" s="1"/>
  <c r="M53" i="57"/>
  <c r="E53" i="57"/>
  <c r="E63" i="57" s="1"/>
  <c r="H129" i="56"/>
  <c r="D129" i="56"/>
  <c r="E129" i="56"/>
  <c r="F129" i="56"/>
  <c r="G129" i="56"/>
  <c r="I129" i="56"/>
  <c r="J129" i="56"/>
  <c r="K129" i="56"/>
  <c r="E108" i="56"/>
  <c r="F108" i="56"/>
  <c r="G108" i="56"/>
  <c r="H108" i="56"/>
  <c r="I108" i="56"/>
  <c r="J108" i="56"/>
  <c r="K108" i="56"/>
  <c r="L108" i="56"/>
  <c r="D108" i="56"/>
  <c r="I91" i="56"/>
  <c r="J91" i="56"/>
  <c r="K91" i="56"/>
  <c r="I75" i="56"/>
  <c r="J75" i="56"/>
  <c r="K75" i="56"/>
  <c r="G12" i="56"/>
  <c r="H12" i="56"/>
  <c r="I12" i="56"/>
  <c r="J12" i="56"/>
  <c r="K12" i="56"/>
  <c r="L12" i="56"/>
  <c r="F12" i="56"/>
  <c r="I3" i="56"/>
  <c r="J3" i="56"/>
  <c r="K3" i="56"/>
  <c r="H40" i="57"/>
  <c r="I40" i="57"/>
  <c r="I53" i="57" s="1"/>
  <c r="J40" i="57"/>
  <c r="H34" i="57"/>
  <c r="Z34" i="57" s="1"/>
  <c r="I34" i="57"/>
  <c r="J34" i="57"/>
  <c r="AB34" i="57" s="1"/>
  <c r="H29" i="57"/>
  <c r="Z29" i="57" s="1"/>
  <c r="I29" i="57"/>
  <c r="J29" i="57"/>
  <c r="AB29" i="57" s="1"/>
  <c r="F24" i="57"/>
  <c r="G24" i="57"/>
  <c r="P24" i="57" s="1"/>
  <c r="P29" i="57" s="1"/>
  <c r="P34" i="57" s="1"/>
  <c r="P40" i="57" s="1"/>
  <c r="P53" i="57" s="1"/>
  <c r="H24" i="57"/>
  <c r="Q24" i="57" s="1"/>
  <c r="Q29" i="57" s="1"/>
  <c r="Q34" i="57" s="1"/>
  <c r="Q40" i="57" s="1"/>
  <c r="Q53" i="57" s="1"/>
  <c r="I24" i="57"/>
  <c r="J24" i="57"/>
  <c r="S24" i="57" s="1"/>
  <c r="S29" i="57" s="1"/>
  <c r="S34" i="57" s="1"/>
  <c r="S40" i="57" s="1"/>
  <c r="S53" i="57" s="1"/>
  <c r="K24" i="57"/>
  <c r="L24" i="57"/>
  <c r="M24" i="57"/>
  <c r="E24" i="57"/>
  <c r="F12" i="57"/>
  <c r="G12" i="57"/>
  <c r="P12" i="57" s="1"/>
  <c r="H12" i="57"/>
  <c r="I12" i="57"/>
  <c r="J12" i="57"/>
  <c r="K12" i="57"/>
  <c r="L12" i="57"/>
  <c r="M12" i="57"/>
  <c r="E12" i="57"/>
  <c r="Y12" i="57" l="1"/>
  <c r="P76" i="57"/>
  <c r="T84" i="57"/>
  <c r="U84" i="57" s="1"/>
  <c r="V84" i="57" s="1"/>
  <c r="AB84" i="57"/>
  <c r="T95" i="57"/>
  <c r="AB95" i="57"/>
  <c r="S96" i="57"/>
  <c r="AB96" i="57" s="1"/>
  <c r="J53" i="57"/>
  <c r="J63" i="57" s="1"/>
  <c r="AB40" i="57"/>
  <c r="H53" i="57"/>
  <c r="H63" i="57" s="1"/>
  <c r="Z40" i="57"/>
  <c r="AD63" i="57"/>
  <c r="AD76" i="57"/>
  <c r="AD53" i="57"/>
  <c r="AD160" i="57"/>
  <c r="AD171" i="57" s="1"/>
  <c r="AD24" i="57"/>
  <c r="AD148" i="57"/>
  <c r="T99" i="57"/>
  <c r="AB99" i="57"/>
  <c r="S100" i="57"/>
  <c r="AB100" i="57" s="1"/>
  <c r="I63" i="57"/>
  <c r="S66" i="57"/>
  <c r="S63" i="57"/>
  <c r="Q66" i="57"/>
  <c r="Q63" i="57"/>
  <c r="P66" i="57"/>
  <c r="P63" i="57"/>
  <c r="O12" i="57"/>
  <c r="F113" i="57"/>
  <c r="F131" i="57"/>
  <c r="M131" i="57"/>
  <c r="M113" i="57"/>
  <c r="L113" i="57"/>
  <c r="L131" i="57"/>
  <c r="K131" i="57"/>
  <c r="K113" i="57"/>
  <c r="J18" i="57"/>
  <c r="S18" i="57" s="1"/>
  <c r="J131" i="57"/>
  <c r="J113" i="57"/>
  <c r="M63" i="57"/>
  <c r="I11" i="57"/>
  <c r="I15" i="57" s="1"/>
  <c r="I131" i="57"/>
  <c r="I113" i="57"/>
  <c r="S12" i="57"/>
  <c r="H18" i="57"/>
  <c r="Q18" i="57" s="1"/>
  <c r="H131" i="57"/>
  <c r="H113" i="57"/>
  <c r="R12" i="57"/>
  <c r="R76" i="57" s="1"/>
  <c r="P113" i="57"/>
  <c r="P131" i="57"/>
  <c r="P148" i="57"/>
  <c r="P72" i="57"/>
  <c r="P160" i="57"/>
  <c r="P171" i="57" s="1"/>
  <c r="P185" i="57" s="1"/>
  <c r="G131" i="57"/>
  <c r="G113" i="57"/>
  <c r="Q12" i="57"/>
  <c r="Q76" i="57" s="1"/>
  <c r="H11" i="57"/>
  <c r="H13" i="57" s="1"/>
  <c r="J11" i="57"/>
  <c r="I18" i="57"/>
  <c r="R18" i="57" s="1"/>
  <c r="K33" i="29"/>
  <c r="O36" i="29"/>
  <c r="L36" i="29"/>
  <c r="Y160" i="57" l="1"/>
  <c r="Y171" i="57" s="1"/>
  <c r="Y24" i="57"/>
  <c r="Y63" i="57"/>
  <c r="Y148" i="57"/>
  <c r="Y76" i="57"/>
  <c r="Y53" i="57"/>
  <c r="S76" i="57"/>
  <c r="AB12" i="57"/>
  <c r="U99" i="57"/>
  <c r="T100" i="57"/>
  <c r="O76" i="57"/>
  <c r="X12" i="57"/>
  <c r="T96" i="57"/>
  <c r="U95" i="57"/>
  <c r="AA15" i="57"/>
  <c r="R15" i="57"/>
  <c r="I14" i="57"/>
  <c r="R148" i="57"/>
  <c r="R131" i="57"/>
  <c r="R113" i="57"/>
  <c r="R160" i="57"/>
  <c r="R72" i="57"/>
  <c r="AA12" i="57"/>
  <c r="O72" i="57"/>
  <c r="O148" i="57"/>
  <c r="O131" i="57"/>
  <c r="O113" i="57"/>
  <c r="O160" i="57"/>
  <c r="I13" i="57"/>
  <c r="Q160" i="57"/>
  <c r="Q171" i="57" s="1"/>
  <c r="Q185" i="57" s="1"/>
  <c r="Q148" i="57"/>
  <c r="Q131" i="57"/>
  <c r="Q113" i="57"/>
  <c r="Q72" i="57"/>
  <c r="Z12" i="57"/>
  <c r="Z13" i="57"/>
  <c r="Q13" i="57"/>
  <c r="S131" i="57"/>
  <c r="S160" i="57"/>
  <c r="S171" i="57" s="1"/>
  <c r="S185" i="57" s="1"/>
  <c r="S113" i="57"/>
  <c r="S148" i="57"/>
  <c r="S72" i="57"/>
  <c r="H14" i="57"/>
  <c r="H15" i="57"/>
  <c r="J14" i="57"/>
  <c r="AB14" i="57" s="1"/>
  <c r="J13" i="57"/>
  <c r="AB13" i="57" s="1"/>
  <c r="J15" i="57"/>
  <c r="AB15" i="57" s="1"/>
  <c r="L33" i="29"/>
  <c r="Z160" i="57" l="1"/>
  <c r="Z171" i="57" s="1"/>
  <c r="Z53" i="57"/>
  <c r="Z63" i="57"/>
  <c r="Z24" i="57"/>
  <c r="Z148" i="57"/>
  <c r="Z76" i="57"/>
  <c r="V99" i="57"/>
  <c r="V100" i="57" s="1"/>
  <c r="U100" i="57"/>
  <c r="AB53" i="57"/>
  <c r="AB148" i="57"/>
  <c r="AB76" i="57"/>
  <c r="AB63" i="57"/>
  <c r="AB24" i="57"/>
  <c r="AB160" i="57"/>
  <c r="AB171" i="57" s="1"/>
  <c r="AB16" i="57"/>
  <c r="AA53" i="57"/>
  <c r="AA63" i="57"/>
  <c r="AA148" i="57"/>
  <c r="AA76" i="57"/>
  <c r="AA24" i="57"/>
  <c r="AA160" i="57"/>
  <c r="AA171" i="57" s="1"/>
  <c r="O171" i="57"/>
  <c r="O185" i="57" s="1"/>
  <c r="X24" i="57"/>
  <c r="X160" i="57"/>
  <c r="X171" i="57" s="1"/>
  <c r="X63" i="57"/>
  <c r="X76" i="57"/>
  <c r="X148" i="57"/>
  <c r="X53" i="57"/>
  <c r="V95" i="57"/>
  <c r="V96" i="57" s="1"/>
  <c r="U96" i="57"/>
  <c r="R171" i="57"/>
  <c r="H16" i="57"/>
  <c r="Z15" i="57"/>
  <c r="Q15" i="57"/>
  <c r="Z14" i="57"/>
  <c r="Z16" i="57" s="1"/>
  <c r="Q14" i="57"/>
  <c r="AA14" i="57"/>
  <c r="R14" i="57"/>
  <c r="S15" i="57"/>
  <c r="S13" i="57"/>
  <c r="AA13" i="57"/>
  <c r="R13" i="57"/>
  <c r="I16" i="57"/>
  <c r="S14" i="57"/>
  <c r="J16" i="57"/>
  <c r="L28" i="29"/>
  <c r="M28" i="29"/>
  <c r="N28" i="29"/>
  <c r="O28" i="29"/>
  <c r="M9" i="29"/>
  <c r="N9" i="29" s="1"/>
  <c r="O9" i="29" s="1"/>
  <c r="P9" i="29" s="1"/>
  <c r="M10" i="29"/>
  <c r="N10" i="29" s="1"/>
  <c r="O10" i="29" s="1"/>
  <c r="P10" i="29" s="1"/>
  <c r="M11" i="29"/>
  <c r="N11" i="29" s="1"/>
  <c r="O11" i="29" s="1"/>
  <c r="P11" i="29" s="1"/>
  <c r="M5" i="29"/>
  <c r="N5" i="29"/>
  <c r="O5" i="29"/>
  <c r="O3" i="29"/>
  <c r="M3" i="29"/>
  <c r="Q16" i="57" l="1"/>
  <c r="AA16" i="57"/>
  <c r="R16" i="57"/>
  <c r="S16" i="57"/>
  <c r="R185" i="57"/>
  <c r="E27" i="57"/>
  <c r="D27" i="39" l="1"/>
  <c r="C27" i="39"/>
  <c r="D26" i="39"/>
  <c r="C26" i="39"/>
  <c r="D25" i="39"/>
  <c r="C25" i="39"/>
  <c r="D24" i="39"/>
  <c r="C24" i="39"/>
  <c r="D23" i="39"/>
  <c r="C23" i="39"/>
  <c r="D22" i="39"/>
  <c r="C22" i="39"/>
  <c r="D21" i="39"/>
  <c r="C21" i="39"/>
  <c r="D20" i="39"/>
  <c r="C20" i="39"/>
  <c r="D19" i="39"/>
  <c r="C19" i="39"/>
  <c r="D17" i="39"/>
  <c r="C17" i="39"/>
  <c r="D16" i="39"/>
  <c r="C16" i="39"/>
  <c r="D15" i="39"/>
  <c r="C15" i="39"/>
  <c r="D14" i="39"/>
  <c r="C14" i="39"/>
  <c r="D13" i="39"/>
  <c r="C13" i="39"/>
  <c r="D12" i="39"/>
  <c r="C12" i="39"/>
  <c r="D11" i="39"/>
  <c r="C11" i="39"/>
  <c r="D10" i="39"/>
  <c r="C10" i="39"/>
  <c r="D9" i="39"/>
  <c r="C9" i="39"/>
  <c r="D1" i="57" l="1"/>
  <c r="L57" i="58"/>
  <c r="B41" i="57" l="1"/>
  <c r="B25" i="57"/>
  <c r="C12" i="45"/>
  <c r="D27" i="44" l="1"/>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F31" i="44" s="1"/>
  <c r="G28" i="44"/>
  <c r="H28" i="44"/>
  <c r="I28" i="44"/>
  <c r="J28" i="44"/>
  <c r="J31" i="44" s="1"/>
  <c r="K28" i="44"/>
  <c r="K31" i="44" s="1"/>
  <c r="L28" i="44"/>
  <c r="M28" i="44"/>
  <c r="N28" i="44"/>
  <c r="O28" i="44"/>
  <c r="P28" i="44"/>
  <c r="Q28" i="44"/>
  <c r="R28" i="44"/>
  <c r="R31" i="44" s="1"/>
  <c r="S28" i="44"/>
  <c r="T28" i="44"/>
  <c r="U28" i="44"/>
  <c r="V28" i="44"/>
  <c r="V31" i="44" s="1"/>
  <c r="W28" i="44"/>
  <c r="W31" i="44" s="1"/>
  <c r="X28" i="44"/>
  <c r="Y28" i="44"/>
  <c r="Z28" i="44"/>
  <c r="AA28" i="44"/>
  <c r="AB28" i="44"/>
  <c r="AC28" i="44"/>
  <c r="AD28" i="44"/>
  <c r="AE28" i="44"/>
  <c r="AF28" i="44"/>
  <c r="AG28" i="44"/>
  <c r="D29" i="44"/>
  <c r="D30" i="44" s="1"/>
  <c r="D33" i="44" s="1"/>
  <c r="E29" i="44"/>
  <c r="E30" i="44" s="1"/>
  <c r="E33" i="44" s="1"/>
  <c r="F29" i="44"/>
  <c r="G29" i="44"/>
  <c r="G32" i="44" s="1"/>
  <c r="H29" i="44"/>
  <c r="H32" i="44" s="1"/>
  <c r="I29" i="44"/>
  <c r="I32" i="44" s="1"/>
  <c r="J29" i="44"/>
  <c r="K29" i="44"/>
  <c r="L29" i="44"/>
  <c r="L30" i="44" s="1"/>
  <c r="L33" i="44" s="1"/>
  <c r="M29" i="44"/>
  <c r="M32" i="44" s="1"/>
  <c r="N29" i="44"/>
  <c r="O29" i="44"/>
  <c r="P29" i="44"/>
  <c r="P30" i="44" s="1"/>
  <c r="P33" i="44" s="1"/>
  <c r="Q29" i="44"/>
  <c r="Q30" i="44" s="1"/>
  <c r="Q33" i="44" s="1"/>
  <c r="R29" i="44"/>
  <c r="S29" i="44"/>
  <c r="T29" i="44"/>
  <c r="T32" i="44" s="1"/>
  <c r="U29" i="44"/>
  <c r="V29" i="44"/>
  <c r="V30" i="44" s="1"/>
  <c r="V33" i="44" s="1"/>
  <c r="W29" i="44"/>
  <c r="X29" i="44"/>
  <c r="X30" i="44" s="1"/>
  <c r="X33" i="44" s="1"/>
  <c r="Y29" i="44"/>
  <c r="Y32" i="44" s="1"/>
  <c r="Z29" i="44"/>
  <c r="AA29" i="44"/>
  <c r="AA32" i="44" s="1"/>
  <c r="AB29" i="44"/>
  <c r="AB30" i="44" s="1"/>
  <c r="AB33" i="44" s="1"/>
  <c r="AC29" i="44"/>
  <c r="AC30" i="44" s="1"/>
  <c r="AC33" i="44" s="1"/>
  <c r="AD29" i="44"/>
  <c r="AD32" i="44" s="1"/>
  <c r="AE29" i="44"/>
  <c r="AE32" i="44" s="1"/>
  <c r="AF29" i="44"/>
  <c r="AG29" i="44"/>
  <c r="K30" i="44"/>
  <c r="K33" i="44" s="1"/>
  <c r="M30" i="44"/>
  <c r="M33" i="44" s="1"/>
  <c r="W30" i="44"/>
  <c r="W33" i="44" s="1"/>
  <c r="E31" i="44"/>
  <c r="Q31" i="44"/>
  <c r="J32" i="44"/>
  <c r="K32" i="44"/>
  <c r="V32" i="44"/>
  <c r="W32"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C34" i="44"/>
  <c r="C29" i="44"/>
  <c r="C28" i="44"/>
  <c r="C27" i="44"/>
  <c r="D7" i="44"/>
  <c r="E7" i="44"/>
  <c r="F7" i="44"/>
  <c r="G7" i="44"/>
  <c r="H7" i="44"/>
  <c r="I7" i="44"/>
  <c r="J7" i="44"/>
  <c r="K7" i="44"/>
  <c r="L7" i="44"/>
  <c r="M7" i="44"/>
  <c r="N7" i="44"/>
  <c r="O7" i="44"/>
  <c r="P7" i="44"/>
  <c r="Q7" i="44"/>
  <c r="R7" i="44"/>
  <c r="S7" i="44"/>
  <c r="T7" i="44"/>
  <c r="U7" i="44"/>
  <c r="V7" i="44"/>
  <c r="W7" i="44"/>
  <c r="X7" i="44"/>
  <c r="Y7" i="44"/>
  <c r="Z7" i="44"/>
  <c r="AA7" i="44"/>
  <c r="AB7" i="44"/>
  <c r="AC7" i="44"/>
  <c r="AD7" i="44"/>
  <c r="AE7" i="44"/>
  <c r="AF7" i="44"/>
  <c r="AG7" i="44"/>
  <c r="D8" i="44"/>
  <c r="E8" i="44"/>
  <c r="F8" i="44"/>
  <c r="G8" i="44"/>
  <c r="H8" i="44"/>
  <c r="I8" i="44"/>
  <c r="J8" i="44"/>
  <c r="K8" i="44"/>
  <c r="L8" i="44"/>
  <c r="M8" i="44"/>
  <c r="N8" i="44"/>
  <c r="O8" i="44"/>
  <c r="P8" i="44"/>
  <c r="Q8" i="44"/>
  <c r="R8" i="44"/>
  <c r="S8" i="44"/>
  <c r="T8" i="44"/>
  <c r="U8" i="44"/>
  <c r="V8" i="44"/>
  <c r="W8" i="44"/>
  <c r="X8" i="44"/>
  <c r="Y8" i="44"/>
  <c r="Z8" i="44"/>
  <c r="AA8" i="44"/>
  <c r="AB8" i="44"/>
  <c r="AC8" i="44"/>
  <c r="AD8" i="44"/>
  <c r="AE8" i="44"/>
  <c r="AF8" i="44"/>
  <c r="AG8" i="44"/>
  <c r="D9" i="44"/>
  <c r="E9" i="44"/>
  <c r="F9" i="44"/>
  <c r="G9" i="44"/>
  <c r="H9" i="44"/>
  <c r="I9" i="44"/>
  <c r="J9" i="44"/>
  <c r="K9" i="44"/>
  <c r="L9" i="44"/>
  <c r="M9" i="44"/>
  <c r="N9" i="44"/>
  <c r="O9" i="44"/>
  <c r="P9" i="44"/>
  <c r="Q9" i="44"/>
  <c r="R9" i="44"/>
  <c r="S9" i="44"/>
  <c r="T9" i="44"/>
  <c r="U9" i="44"/>
  <c r="V9" i="44"/>
  <c r="W9" i="44"/>
  <c r="X9" i="44"/>
  <c r="Y9" i="44"/>
  <c r="Z9" i="44"/>
  <c r="AA9" i="44"/>
  <c r="AB9" i="44"/>
  <c r="AC9" i="44"/>
  <c r="AD9" i="44"/>
  <c r="AE9" i="44"/>
  <c r="AF9" i="44"/>
  <c r="AG9" i="44"/>
  <c r="D10" i="44"/>
  <c r="E10" i="44"/>
  <c r="F10" i="44"/>
  <c r="G10" i="44"/>
  <c r="H10" i="44"/>
  <c r="I10" i="44"/>
  <c r="J10" i="44"/>
  <c r="K10" i="44"/>
  <c r="L10" i="44"/>
  <c r="M10" i="44"/>
  <c r="N10" i="44"/>
  <c r="O10" i="44"/>
  <c r="P10" i="44"/>
  <c r="Q10" i="44"/>
  <c r="R10" i="44"/>
  <c r="S10" i="44"/>
  <c r="T10" i="44"/>
  <c r="U10" i="44"/>
  <c r="V10" i="44"/>
  <c r="W10" i="44"/>
  <c r="X10" i="44"/>
  <c r="Y10" i="44"/>
  <c r="Z10" i="44"/>
  <c r="AA10" i="44"/>
  <c r="AB10" i="44"/>
  <c r="AC10" i="44"/>
  <c r="AD10" i="44"/>
  <c r="AE10" i="44"/>
  <c r="AF10" i="44"/>
  <c r="AG10" i="44"/>
  <c r="D11" i="44"/>
  <c r="E11" i="44"/>
  <c r="F11" i="44"/>
  <c r="G11" i="44"/>
  <c r="H11" i="44"/>
  <c r="I11" i="44"/>
  <c r="J11" i="44"/>
  <c r="K11" i="44"/>
  <c r="L11" i="44"/>
  <c r="M11" i="44"/>
  <c r="N11" i="44"/>
  <c r="O11" i="44"/>
  <c r="P11" i="44"/>
  <c r="Q11" i="44"/>
  <c r="R11" i="44"/>
  <c r="S11" i="44"/>
  <c r="T11" i="44"/>
  <c r="U11" i="44"/>
  <c r="V11" i="44"/>
  <c r="W11" i="44"/>
  <c r="X11" i="44"/>
  <c r="Y11" i="44"/>
  <c r="Z11" i="44"/>
  <c r="AA11" i="44"/>
  <c r="AB11" i="44"/>
  <c r="AC11" i="44"/>
  <c r="AD11" i="44"/>
  <c r="AE11" i="44"/>
  <c r="AF11" i="44"/>
  <c r="AG11" i="44"/>
  <c r="D12" i="44"/>
  <c r="E12" i="44"/>
  <c r="F12" i="44"/>
  <c r="G12" i="44"/>
  <c r="H12" i="44"/>
  <c r="I12" i="44"/>
  <c r="J12" i="44"/>
  <c r="K12" i="44"/>
  <c r="L12" i="44"/>
  <c r="M12" i="44"/>
  <c r="N12" i="44"/>
  <c r="O12" i="44"/>
  <c r="P12" i="44"/>
  <c r="Q12" i="44"/>
  <c r="R12" i="44"/>
  <c r="S12" i="44"/>
  <c r="T12" i="44"/>
  <c r="U12" i="44"/>
  <c r="V12" i="44"/>
  <c r="W12" i="44"/>
  <c r="X12" i="44"/>
  <c r="Y12" i="44"/>
  <c r="Z12" i="44"/>
  <c r="AA12" i="44"/>
  <c r="AB12" i="44"/>
  <c r="AC12" i="44"/>
  <c r="AD12" i="44"/>
  <c r="AE12" i="44"/>
  <c r="AF12" i="44"/>
  <c r="AG12" i="44"/>
  <c r="D13" i="44"/>
  <c r="E13" i="44"/>
  <c r="F13" i="44"/>
  <c r="G13" i="44"/>
  <c r="H13" i="44"/>
  <c r="I13" i="44"/>
  <c r="J13" i="44"/>
  <c r="K13" i="44"/>
  <c r="L13" i="44"/>
  <c r="M13" i="44"/>
  <c r="N13" i="44"/>
  <c r="O13" i="44"/>
  <c r="P13" i="44"/>
  <c r="Q13" i="44"/>
  <c r="R13" i="44"/>
  <c r="S13" i="44"/>
  <c r="T13" i="44"/>
  <c r="U13" i="44"/>
  <c r="V13" i="44"/>
  <c r="W13" i="44"/>
  <c r="X13" i="44"/>
  <c r="Y13" i="44"/>
  <c r="Z13" i="44"/>
  <c r="AA13" i="44"/>
  <c r="AB13" i="44"/>
  <c r="AC13" i="44"/>
  <c r="AD13" i="44"/>
  <c r="AE13" i="44"/>
  <c r="AF13" i="44"/>
  <c r="AG13" i="44"/>
  <c r="D14" i="44"/>
  <c r="E14" i="44"/>
  <c r="F14" i="44"/>
  <c r="G14" i="44"/>
  <c r="H14" i="44"/>
  <c r="I14" i="44"/>
  <c r="J14" i="44"/>
  <c r="K14" i="44"/>
  <c r="L14" i="44"/>
  <c r="M14" i="44"/>
  <c r="N14" i="44"/>
  <c r="O14" i="44"/>
  <c r="P14" i="44"/>
  <c r="Q14" i="44"/>
  <c r="R14" i="44"/>
  <c r="S14" i="44"/>
  <c r="T14" i="44"/>
  <c r="U14" i="44"/>
  <c r="V14" i="44"/>
  <c r="W14" i="44"/>
  <c r="X14" i="44"/>
  <c r="Y14" i="44"/>
  <c r="Z14" i="44"/>
  <c r="AA14" i="44"/>
  <c r="AB14" i="44"/>
  <c r="AC14" i="44"/>
  <c r="AD14" i="44"/>
  <c r="AE14" i="44"/>
  <c r="AF14" i="44"/>
  <c r="AG14" i="44"/>
  <c r="D15" i="44"/>
  <c r="E15" i="44"/>
  <c r="F15" i="44"/>
  <c r="G15" i="44"/>
  <c r="H15" i="44"/>
  <c r="I15" i="44"/>
  <c r="J15" i="44"/>
  <c r="K15" i="44"/>
  <c r="L15" i="44"/>
  <c r="M15" i="44"/>
  <c r="N15" i="44"/>
  <c r="O15" i="44"/>
  <c r="P15" i="44"/>
  <c r="Q15" i="44"/>
  <c r="R15" i="44"/>
  <c r="S15" i="44"/>
  <c r="T15" i="44"/>
  <c r="U15" i="44"/>
  <c r="V15" i="44"/>
  <c r="W15" i="44"/>
  <c r="X15" i="44"/>
  <c r="Y15" i="44"/>
  <c r="Z15" i="44"/>
  <c r="AA15" i="44"/>
  <c r="AB15" i="44"/>
  <c r="AC15" i="44"/>
  <c r="AD15" i="44"/>
  <c r="AE15" i="44"/>
  <c r="AF15" i="44"/>
  <c r="AG15" i="44"/>
  <c r="D16" i="44"/>
  <c r="E16" i="44"/>
  <c r="F16" i="44"/>
  <c r="G16" i="44"/>
  <c r="H16" i="44"/>
  <c r="I16" i="44"/>
  <c r="J16" i="44"/>
  <c r="K16" i="44"/>
  <c r="L16" i="44"/>
  <c r="M16" i="44"/>
  <c r="N16" i="44"/>
  <c r="O16" i="44"/>
  <c r="P16" i="44"/>
  <c r="Q16" i="44"/>
  <c r="R16" i="44"/>
  <c r="S16" i="44"/>
  <c r="T16" i="44"/>
  <c r="U16" i="44"/>
  <c r="V16" i="44"/>
  <c r="W16" i="44"/>
  <c r="X16" i="44"/>
  <c r="Y16" i="44"/>
  <c r="Z16" i="44"/>
  <c r="AA16" i="44"/>
  <c r="AB16" i="44"/>
  <c r="AC16" i="44"/>
  <c r="AD16" i="44"/>
  <c r="AE16" i="44"/>
  <c r="AF16" i="44"/>
  <c r="AG16" i="44"/>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0" i="44"/>
  <c r="E20" i="44"/>
  <c r="F20" i="44"/>
  <c r="G20" i="44"/>
  <c r="H20" i="44"/>
  <c r="I20" i="44"/>
  <c r="J20" i="44"/>
  <c r="K20" i="44"/>
  <c r="L20" i="44"/>
  <c r="M20" i="44"/>
  <c r="N20" i="44"/>
  <c r="O20" i="44"/>
  <c r="P20" i="44"/>
  <c r="Q20" i="44"/>
  <c r="R20" i="44"/>
  <c r="S20" i="44"/>
  <c r="T20" i="44"/>
  <c r="U20" i="44"/>
  <c r="V20" i="44"/>
  <c r="W20" i="44"/>
  <c r="X20" i="44"/>
  <c r="Y20" i="44"/>
  <c r="Z20" i="44"/>
  <c r="AA20" i="44"/>
  <c r="AB20" i="44"/>
  <c r="AC20" i="44"/>
  <c r="AD20" i="44"/>
  <c r="AE20" i="44"/>
  <c r="AF20" i="44"/>
  <c r="AG20" i="44"/>
  <c r="D21" i="44"/>
  <c r="E21" i="44"/>
  <c r="F21" i="44"/>
  <c r="G21" i="44"/>
  <c r="H21" i="44"/>
  <c r="I21" i="44"/>
  <c r="J21" i="44"/>
  <c r="K21" i="44"/>
  <c r="L21" i="44"/>
  <c r="M21" i="44"/>
  <c r="N21" i="44"/>
  <c r="O21" i="44"/>
  <c r="P21" i="44"/>
  <c r="Q21" i="44"/>
  <c r="R21" i="44"/>
  <c r="S21" i="44"/>
  <c r="T21" i="44"/>
  <c r="U21" i="44"/>
  <c r="V21" i="44"/>
  <c r="W21" i="44"/>
  <c r="X21" i="44"/>
  <c r="Y21" i="44"/>
  <c r="Z21" i="44"/>
  <c r="AA21" i="44"/>
  <c r="AB21" i="44"/>
  <c r="AC21" i="44"/>
  <c r="AD21" i="44"/>
  <c r="AE21" i="44"/>
  <c r="AF21" i="44"/>
  <c r="AG21"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C8" i="44"/>
  <c r="C9" i="44"/>
  <c r="C10" i="44"/>
  <c r="C11" i="44"/>
  <c r="C12" i="44"/>
  <c r="C13" i="44"/>
  <c r="C14" i="44"/>
  <c r="C15" i="44"/>
  <c r="C16" i="44"/>
  <c r="C17" i="44"/>
  <c r="C18" i="44"/>
  <c r="C19" i="44"/>
  <c r="C20" i="44"/>
  <c r="C21" i="44"/>
  <c r="C22" i="44"/>
  <c r="C23" i="44"/>
  <c r="C24" i="44"/>
  <c r="C7" i="44"/>
  <c r="O30" i="44" l="1"/>
  <c r="O33" i="44" s="1"/>
  <c r="AG31" i="44"/>
  <c r="U31" i="44"/>
  <c r="I31" i="44"/>
  <c r="Z30" i="44"/>
  <c r="Z33" i="44" s="1"/>
  <c r="N30" i="44"/>
  <c r="N33" i="44" s="1"/>
  <c r="AF31" i="44"/>
  <c r="H31" i="44"/>
  <c r="AA31" i="44"/>
  <c r="O31" i="44"/>
  <c r="O32" i="44"/>
  <c r="AA30" i="44"/>
  <c r="AA33" i="44" s="1"/>
  <c r="AG30" i="44"/>
  <c r="AG33" i="44" s="1"/>
  <c r="U30" i="44"/>
  <c r="U33" i="44" s="1"/>
  <c r="I30" i="44"/>
  <c r="I33" i="44" s="1"/>
  <c r="L32" i="44"/>
  <c r="T30" i="44"/>
  <c r="T33" i="44" s="1"/>
  <c r="Z31" i="44"/>
  <c r="N31" i="44"/>
  <c r="AB31" i="44"/>
  <c r="P31" i="44"/>
  <c r="D31" i="44"/>
  <c r="U32" i="44"/>
  <c r="Y30" i="44"/>
  <c r="Y33" i="44" s="1"/>
  <c r="AE31" i="44"/>
  <c r="S31" i="44"/>
  <c r="G31" i="44"/>
  <c r="J30" i="44"/>
  <c r="J33" i="44" s="1"/>
  <c r="X32" i="44"/>
  <c r="R30" i="44"/>
  <c r="R33" i="44" s="1"/>
  <c r="F30" i="44"/>
  <c r="F33" i="44" s="1"/>
  <c r="X31" i="44"/>
  <c r="L31" i="44"/>
  <c r="S30" i="44"/>
  <c r="S33" i="44" s="1"/>
  <c r="Y31" i="44"/>
  <c r="M31" i="44"/>
  <c r="N32" i="44"/>
  <c r="T31" i="44"/>
  <c r="Z32" i="44"/>
  <c r="H30" i="44"/>
  <c r="H33" i="44" s="1"/>
  <c r="AF30" i="44"/>
  <c r="AF33" i="44" s="1"/>
  <c r="AD31" i="44"/>
  <c r="AC31" i="44"/>
  <c r="AG32" i="44"/>
  <c r="S32" i="44"/>
  <c r="AE30" i="44"/>
  <c r="AE33" i="44" s="1"/>
  <c r="G30" i="44"/>
  <c r="G33" i="44" s="1"/>
  <c r="AD30" i="44"/>
  <c r="AD33" i="44" s="1"/>
  <c r="AC32" i="44"/>
  <c r="Q32" i="44"/>
  <c r="E32" i="44"/>
  <c r="AF32" i="44"/>
  <c r="R32" i="44"/>
  <c r="F32" i="44"/>
  <c r="AB32" i="44"/>
  <c r="P32" i="44"/>
  <c r="D32" i="44"/>
  <c r="C11" i="45"/>
  <c r="C10" i="45"/>
  <c r="C9" i="45"/>
  <c r="C8" i="45"/>
  <c r="C7" i="45"/>
  <c r="AS162" i="57" l="1"/>
  <c r="AQ162" i="57"/>
  <c r="AO162" i="57"/>
  <c r="AK162" i="57"/>
  <c r="AI162" i="57"/>
  <c r="AJ161" i="57"/>
  <c r="AJ162" i="57" s="1"/>
  <c r="E126" i="47" l="1"/>
  <c r="E125" i="47"/>
  <c r="E124" i="47"/>
  <c r="E123" i="47"/>
  <c r="E122" i="47"/>
  <c r="E121" i="47"/>
  <c r="E120" i="47"/>
  <c r="E119" i="47"/>
  <c r="E118" i="47"/>
  <c r="E117" i="47"/>
  <c r="E116" i="47"/>
  <c r="E115" i="47"/>
  <c r="E114" i="47"/>
  <c r="E113" i="47"/>
  <c r="E112" i="47"/>
  <c r="E111" i="47"/>
  <c r="E110" i="47"/>
  <c r="E109" i="47"/>
  <c r="E10"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H69" i="58"/>
  <c r="H76" i="58" s="1"/>
  <c r="I76" i="58" s="1"/>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AO257" i="58"/>
  <c r="AP257" i="58" s="1"/>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93" i="58"/>
  <c r="B192" i="58"/>
  <c r="B189" i="58"/>
  <c r="B182" i="58"/>
  <c r="B181" i="58"/>
  <c r="B180" i="58"/>
  <c r="B179" i="58"/>
  <c r="B178" i="58"/>
  <c r="B177" i="58"/>
  <c r="B176" i="58"/>
  <c r="B175" i="58"/>
  <c r="B174" i="58"/>
  <c r="B170" i="58"/>
  <c r="B169" i="58"/>
  <c r="B168" i="58"/>
  <c r="B167" i="58"/>
  <c r="B166" i="58"/>
  <c r="B165" i="58"/>
  <c r="B164" i="58"/>
  <c r="B163" i="58"/>
  <c r="B162" i="58"/>
  <c r="B155" i="58"/>
  <c r="AL146" i="58"/>
  <c r="T146" i="58"/>
  <c r="E146" i="58"/>
  <c r="AT146" i="58" s="1"/>
  <c r="AQ145" i="58"/>
  <c r="E145" i="58"/>
  <c r="AK144" i="58"/>
  <c r="AA144" i="58"/>
  <c r="O144" i="58"/>
  <c r="E144" i="58"/>
  <c r="AR143" i="58"/>
  <c r="AQ143" i="58"/>
  <c r="AM143" i="58"/>
  <c r="AA143" i="58"/>
  <c r="B142" i="58"/>
  <c r="AP141" i="58"/>
  <c r="AB141" i="58"/>
  <c r="AM140" i="58"/>
  <c r="M140" i="58"/>
  <c r="E140" i="58"/>
  <c r="U140" i="58" s="1"/>
  <c r="AM139" i="58"/>
  <c r="AD139" i="58"/>
  <c r="T139" i="58"/>
  <c r="E139" i="58"/>
  <c r="AS138" i="58"/>
  <c r="T138" i="58"/>
  <c r="E138" i="58"/>
  <c r="AP138" i="58" s="1"/>
  <c r="AS135" i="58"/>
  <c r="AS146" i="58" s="1"/>
  <c r="AN135" i="58"/>
  <c r="AN146" i="58" s="1"/>
  <c r="AM135" i="58"/>
  <c r="AL135" i="58"/>
  <c r="AK135" i="58"/>
  <c r="AK146" i="58" s="1"/>
  <c r="AG135" i="58"/>
  <c r="AG146" i="58" s="1"/>
  <c r="AB135" i="58"/>
  <c r="AB146" i="58" s="1"/>
  <c r="AA135" i="58"/>
  <c r="Z135" i="58"/>
  <c r="Z146" i="58" s="1"/>
  <c r="Y135" i="58"/>
  <c r="T135" i="58"/>
  <c r="R135" i="58"/>
  <c r="R146" i="58" s="1"/>
  <c r="O135" i="58"/>
  <c r="O146" i="58" s="1"/>
  <c r="N135" i="58"/>
  <c r="N146" i="58" s="1"/>
  <c r="M135" i="58"/>
  <c r="M146" i="58" s="1"/>
  <c r="E135" i="58"/>
  <c r="AR134" i="58"/>
  <c r="AR145" i="58" s="1"/>
  <c r="AQ134" i="58"/>
  <c r="AO134" i="58"/>
  <c r="AO145" i="58" s="1"/>
  <c r="AF134" i="58"/>
  <c r="AF145" i="58" s="1"/>
  <c r="AE134" i="58"/>
  <c r="AE145" i="58" s="1"/>
  <c r="AC134" i="58"/>
  <c r="AC145" i="58" s="1"/>
  <c r="AB134" i="58"/>
  <c r="AB145" i="58" s="1"/>
  <c r="T134" i="58"/>
  <c r="T145" i="58" s="1"/>
  <c r="S134" i="58"/>
  <c r="S145" i="58" s="1"/>
  <c r="Q134" i="58"/>
  <c r="Q145" i="58" s="1"/>
  <c r="E134" i="58"/>
  <c r="B134" i="58"/>
  <c r="B145" i="58" s="1"/>
  <c r="AV133" i="58"/>
  <c r="AV144" i="58" s="1"/>
  <c r="AT133" i="58"/>
  <c r="AT144" i="58" s="1"/>
  <c r="AQ133" i="58"/>
  <c r="AQ144" i="58" s="1"/>
  <c r="AK133" i="58"/>
  <c r="AJ133" i="58"/>
  <c r="AJ144" i="58" s="1"/>
  <c r="AI133" i="58"/>
  <c r="AI144" i="58" s="1"/>
  <c r="AE133" i="58"/>
  <c r="AE144" i="58" s="1"/>
  <c r="Y133" i="58"/>
  <c r="Y144" i="58" s="1"/>
  <c r="X133" i="58"/>
  <c r="X144" i="58" s="1"/>
  <c r="V133" i="58"/>
  <c r="V144" i="58" s="1"/>
  <c r="S133" i="58"/>
  <c r="S144" i="58" s="1"/>
  <c r="Q133" i="58"/>
  <c r="Q144" i="58" s="1"/>
  <c r="M133" i="58"/>
  <c r="M144" i="58" s="1"/>
  <c r="L133" i="58"/>
  <c r="L144" i="58" s="1"/>
  <c r="J133" i="58"/>
  <c r="J144" i="58" s="1"/>
  <c r="E133" i="58"/>
  <c r="B133" i="58"/>
  <c r="B144" i="58" s="1"/>
  <c r="AV132" i="58"/>
  <c r="AV143" i="58" s="1"/>
  <c r="AR132" i="58"/>
  <c r="AP132" i="58"/>
  <c r="AP143" i="58" s="1"/>
  <c r="AO132" i="58"/>
  <c r="AO143" i="58" s="1"/>
  <c r="AK132" i="58"/>
  <c r="AK143" i="58" s="1"/>
  <c r="AJ132" i="58"/>
  <c r="AJ143" i="58" s="1"/>
  <c r="AF132" i="58"/>
  <c r="AF143" i="58" s="1"/>
  <c r="AD132" i="58"/>
  <c r="AD143" i="58" s="1"/>
  <c r="AC132" i="58"/>
  <c r="AC143" i="58" s="1"/>
  <c r="Y132" i="58"/>
  <c r="Y143" i="58" s="1"/>
  <c r="X132" i="58"/>
  <c r="X143" i="58" s="1"/>
  <c r="T132" i="58"/>
  <c r="T143" i="58" s="1"/>
  <c r="R132" i="58"/>
  <c r="R143" i="58" s="1"/>
  <c r="Q132" i="58"/>
  <c r="Q143" i="58" s="1"/>
  <c r="M132" i="58"/>
  <c r="M143" i="58" s="1"/>
  <c r="L132" i="58"/>
  <c r="L143" i="58" s="1"/>
  <c r="E132" i="58"/>
  <c r="E143" i="58" s="1"/>
  <c r="B132" i="58"/>
  <c r="B143" i="58" s="1"/>
  <c r="AU131" i="58"/>
  <c r="AT131" i="58"/>
  <c r="AT142" i="58" s="1"/>
  <c r="AP131" i="58"/>
  <c r="AP142" i="58" s="1"/>
  <c r="AO131" i="58"/>
  <c r="AO142" i="58" s="1"/>
  <c r="AI131" i="58"/>
  <c r="AH131" i="58"/>
  <c r="AH142" i="58" s="1"/>
  <c r="AE131" i="58"/>
  <c r="AE142" i="58" s="1"/>
  <c r="AD131" i="58"/>
  <c r="AC131" i="58"/>
  <c r="AC142" i="58" s="1"/>
  <c r="Y131" i="58"/>
  <c r="Y142" i="58" s="1"/>
  <c r="W131" i="58"/>
  <c r="V131" i="58"/>
  <c r="R131" i="58"/>
  <c r="R142" i="58" s="1"/>
  <c r="Q131" i="58"/>
  <c r="M131" i="58"/>
  <c r="M142" i="58" s="1"/>
  <c r="K131" i="58"/>
  <c r="J131" i="58"/>
  <c r="E131" i="58"/>
  <c r="E142" i="58" s="1"/>
  <c r="AD142" i="58" s="1"/>
  <c r="B131" i="58"/>
  <c r="AU130" i="58"/>
  <c r="AU141" i="58" s="1"/>
  <c r="AP130" i="58"/>
  <c r="AN130" i="58"/>
  <c r="AN141" i="58" s="1"/>
  <c r="AI130" i="58"/>
  <c r="AI141" i="58" s="1"/>
  <c r="AD130" i="58"/>
  <c r="AD141" i="58" s="1"/>
  <c r="AB130" i="58"/>
  <c r="Y130" i="58"/>
  <c r="Y141" i="58" s="1"/>
  <c r="W130" i="58"/>
  <c r="W141" i="58" s="1"/>
  <c r="T130" i="58"/>
  <c r="T141" i="58" s="1"/>
  <c r="R130" i="58"/>
  <c r="R141" i="58" s="1"/>
  <c r="P130" i="58"/>
  <c r="P141" i="58" s="1"/>
  <c r="M130" i="58"/>
  <c r="M141" i="58" s="1"/>
  <c r="K130" i="58"/>
  <c r="K141" i="58" s="1"/>
  <c r="E130" i="58"/>
  <c r="E141" i="58" s="1"/>
  <c r="AU129" i="58"/>
  <c r="AU140" i="58" s="1"/>
  <c r="AP129" i="58"/>
  <c r="AP140" i="58" s="1"/>
  <c r="AD129" i="58"/>
  <c r="AD140" i="58" s="1"/>
  <c r="AC129" i="58"/>
  <c r="AC140" i="58" s="1"/>
  <c r="W129" i="58"/>
  <c r="W140" i="58" s="1"/>
  <c r="R129" i="58"/>
  <c r="R140" i="58" s="1"/>
  <c r="K129" i="58"/>
  <c r="K140" i="58" s="1"/>
  <c r="E129" i="58"/>
  <c r="B129" i="58"/>
  <c r="B140" i="58" s="1"/>
  <c r="AR128" i="58"/>
  <c r="AR139" i="58" s="1"/>
  <c r="AK128" i="58"/>
  <c r="AK139" i="58" s="1"/>
  <c r="AJ128" i="58"/>
  <c r="AJ139" i="58" s="1"/>
  <c r="AF128" i="58"/>
  <c r="AF139" i="58" s="1"/>
  <c r="Y128" i="58"/>
  <c r="Y139" i="58" s="1"/>
  <c r="T128" i="58"/>
  <c r="R128" i="58"/>
  <c r="R139" i="58" s="1"/>
  <c r="M128" i="58"/>
  <c r="M139" i="58" s="1"/>
  <c r="E128" i="58"/>
  <c r="B128" i="58"/>
  <c r="B139" i="58" s="1"/>
  <c r="AQ127" i="58"/>
  <c r="AQ138" i="58" s="1"/>
  <c r="AP127" i="58"/>
  <c r="AO127" i="58"/>
  <c r="AO138" i="58" s="1"/>
  <c r="AL127" i="58"/>
  <c r="AL138" i="58" s="1"/>
  <c r="AK127" i="58"/>
  <c r="AK138" i="58" s="1"/>
  <c r="AE127" i="58"/>
  <c r="AD127" i="58"/>
  <c r="AD138" i="58" s="1"/>
  <c r="Z127" i="58"/>
  <c r="Z138" i="58" s="1"/>
  <c r="Y127" i="58"/>
  <c r="Y138" i="58" s="1"/>
  <c r="S127" i="58"/>
  <c r="S138" i="58" s="1"/>
  <c r="R127" i="58"/>
  <c r="R138" i="58" s="1"/>
  <c r="Q127" i="58"/>
  <c r="Q138" i="58" s="1"/>
  <c r="N127" i="58"/>
  <c r="N138" i="58" s="1"/>
  <c r="M127" i="58"/>
  <c r="E127" i="58"/>
  <c r="AV124" i="58"/>
  <c r="AV135" i="58" s="1"/>
  <c r="AV146" i="58" s="1"/>
  <c r="AU124" i="58"/>
  <c r="AU135" i="58" s="1"/>
  <c r="AU146" i="58" s="1"/>
  <c r="AT124" i="58"/>
  <c r="AT135" i="58" s="1"/>
  <c r="AS124" i="58"/>
  <c r="AR124" i="58"/>
  <c r="AR135" i="58" s="1"/>
  <c r="AR146" i="58" s="1"/>
  <c r="AQ124" i="58"/>
  <c r="AQ135" i="58" s="1"/>
  <c r="AQ146" i="58" s="1"/>
  <c r="AP124" i="58"/>
  <c r="AP135" i="58" s="1"/>
  <c r="AO124" i="58"/>
  <c r="AO135" i="58" s="1"/>
  <c r="AO146" i="58" s="1"/>
  <c r="AN124" i="58"/>
  <c r="AM124" i="58"/>
  <c r="AL124" i="58"/>
  <c r="AK124" i="58"/>
  <c r="AJ124" i="58"/>
  <c r="AJ135" i="58" s="1"/>
  <c r="AJ146" i="58" s="1"/>
  <c r="AI124" i="58"/>
  <c r="AI135" i="58" s="1"/>
  <c r="AI146" i="58" s="1"/>
  <c r="AH124" i="58"/>
  <c r="AH135" i="58" s="1"/>
  <c r="AG124" i="58"/>
  <c r="AF124" i="58"/>
  <c r="AF135" i="58" s="1"/>
  <c r="AF146" i="58" s="1"/>
  <c r="AE124" i="58"/>
  <c r="AE135" i="58" s="1"/>
  <c r="AE146" i="58" s="1"/>
  <c r="AD124" i="58"/>
  <c r="AD135" i="58" s="1"/>
  <c r="AD146" i="58" s="1"/>
  <c r="AC124" i="58"/>
  <c r="AC135" i="58" s="1"/>
  <c r="AC146" i="58" s="1"/>
  <c r="AB124" i="58"/>
  <c r="AA124" i="58"/>
  <c r="Z124" i="58"/>
  <c r="Y124" i="58"/>
  <c r="X124" i="58"/>
  <c r="X135" i="58" s="1"/>
  <c r="X146" i="58" s="1"/>
  <c r="W124" i="58"/>
  <c r="W135" i="58" s="1"/>
  <c r="W146" i="58" s="1"/>
  <c r="V124" i="58"/>
  <c r="V135" i="58" s="1"/>
  <c r="U124" i="58"/>
  <c r="U135" i="58" s="1"/>
  <c r="U146" i="58" s="1"/>
  <c r="T124" i="58"/>
  <c r="S124" i="58"/>
  <c r="S135" i="58" s="1"/>
  <c r="S146" i="58" s="1"/>
  <c r="R124" i="58"/>
  <c r="Q124" i="58"/>
  <c r="Q135" i="58" s="1"/>
  <c r="Q146" i="58" s="1"/>
  <c r="P124" i="58"/>
  <c r="P135" i="58" s="1"/>
  <c r="O124" i="58"/>
  <c r="N124" i="58"/>
  <c r="M124" i="58"/>
  <c r="L124" i="58"/>
  <c r="L135" i="58" s="1"/>
  <c r="L146" i="58" s="1"/>
  <c r="K124" i="58"/>
  <c r="K135" i="58" s="1"/>
  <c r="K146" i="58" s="1"/>
  <c r="J124" i="58"/>
  <c r="J135" i="58" s="1"/>
  <c r="B124" i="58"/>
  <c r="B135" i="58" s="1"/>
  <c r="B146" i="58" s="1"/>
  <c r="AV123" i="58"/>
  <c r="AV134" i="58" s="1"/>
  <c r="AV145" i="58" s="1"/>
  <c r="AU123" i="58"/>
  <c r="AU134" i="58" s="1"/>
  <c r="AU145" i="58" s="1"/>
  <c r="AT123" i="58"/>
  <c r="AT134" i="58" s="1"/>
  <c r="AT145" i="58" s="1"/>
  <c r="AS123" i="58"/>
  <c r="AS134" i="58" s="1"/>
  <c r="AS145" i="58" s="1"/>
  <c r="AR123" i="58"/>
  <c r="AQ123" i="58"/>
  <c r="AP123" i="58"/>
  <c r="AP134" i="58" s="1"/>
  <c r="AP145" i="58" s="1"/>
  <c r="AO123" i="58"/>
  <c r="AN123" i="58"/>
  <c r="AN134" i="58" s="1"/>
  <c r="AN145" i="58" s="1"/>
  <c r="AM123" i="58"/>
  <c r="AM134" i="58" s="1"/>
  <c r="AM145" i="58" s="1"/>
  <c r="AL123" i="58"/>
  <c r="AL134" i="58" s="1"/>
  <c r="AL145" i="58" s="1"/>
  <c r="AK123" i="58"/>
  <c r="AK134" i="58" s="1"/>
  <c r="AK145" i="58" s="1"/>
  <c r="AJ123" i="58"/>
  <c r="AJ134" i="58" s="1"/>
  <c r="AJ145" i="58" s="1"/>
  <c r="AI123" i="58"/>
  <c r="AI134" i="58" s="1"/>
  <c r="AI145" i="58" s="1"/>
  <c r="AH123" i="58"/>
  <c r="AH134" i="58" s="1"/>
  <c r="AH145" i="58" s="1"/>
  <c r="AG123" i="58"/>
  <c r="AG134" i="58" s="1"/>
  <c r="AG145" i="58" s="1"/>
  <c r="AF123" i="58"/>
  <c r="AE123" i="58"/>
  <c r="AD123" i="58"/>
  <c r="AD134" i="58" s="1"/>
  <c r="AD145" i="58" s="1"/>
  <c r="AC123" i="58"/>
  <c r="AB123" i="58"/>
  <c r="AA123" i="58"/>
  <c r="AA134" i="58" s="1"/>
  <c r="AA145" i="58" s="1"/>
  <c r="Z123" i="58"/>
  <c r="Z134" i="58" s="1"/>
  <c r="Z145" i="58" s="1"/>
  <c r="Y123" i="58"/>
  <c r="Y134" i="58" s="1"/>
  <c r="Y145" i="58" s="1"/>
  <c r="X123" i="58"/>
  <c r="X134" i="58" s="1"/>
  <c r="X145" i="58" s="1"/>
  <c r="W123" i="58"/>
  <c r="W134" i="58" s="1"/>
  <c r="W145" i="58" s="1"/>
  <c r="V123" i="58"/>
  <c r="V134" i="58" s="1"/>
  <c r="V145" i="58" s="1"/>
  <c r="U123" i="58"/>
  <c r="U134" i="58" s="1"/>
  <c r="U145" i="58" s="1"/>
  <c r="T123" i="58"/>
  <c r="S123" i="58"/>
  <c r="R123" i="58"/>
  <c r="R134" i="58" s="1"/>
  <c r="R145" i="58" s="1"/>
  <c r="Q123" i="58"/>
  <c r="P123" i="58"/>
  <c r="P134" i="58" s="1"/>
  <c r="P145" i="58" s="1"/>
  <c r="O123" i="58"/>
  <c r="O134" i="58" s="1"/>
  <c r="O145" i="58" s="1"/>
  <c r="N123" i="58"/>
  <c r="N134" i="58" s="1"/>
  <c r="N145" i="58" s="1"/>
  <c r="M123" i="58"/>
  <c r="M134" i="58" s="1"/>
  <c r="M145" i="58" s="1"/>
  <c r="L123" i="58"/>
  <c r="L134" i="58" s="1"/>
  <c r="L145" i="58" s="1"/>
  <c r="K123" i="58"/>
  <c r="K134" i="58" s="1"/>
  <c r="K145" i="58" s="1"/>
  <c r="J123" i="58"/>
  <c r="J134" i="58" s="1"/>
  <c r="J145" i="58" s="1"/>
  <c r="B123" i="58"/>
  <c r="AV122" i="58"/>
  <c r="AU122" i="58"/>
  <c r="AU133" i="58" s="1"/>
  <c r="AU144" i="58" s="1"/>
  <c r="AT122" i="58"/>
  <c r="AS122" i="58"/>
  <c r="AS133" i="58" s="1"/>
  <c r="AS144" i="58" s="1"/>
  <c r="AR122" i="58"/>
  <c r="AR133" i="58" s="1"/>
  <c r="AR144" i="58" s="1"/>
  <c r="AQ122" i="58"/>
  <c r="AP122" i="58"/>
  <c r="AP133" i="58" s="1"/>
  <c r="AP144" i="58" s="1"/>
  <c r="AO122" i="58"/>
  <c r="AO133" i="58" s="1"/>
  <c r="AO144" i="58" s="1"/>
  <c r="AN122" i="58"/>
  <c r="AN133" i="58" s="1"/>
  <c r="AN144" i="58" s="1"/>
  <c r="AM122" i="58"/>
  <c r="AM133" i="58" s="1"/>
  <c r="AM144" i="58" s="1"/>
  <c r="AL122" i="58"/>
  <c r="AL133" i="58" s="1"/>
  <c r="AL144" i="58" s="1"/>
  <c r="AK122" i="58"/>
  <c r="AJ122" i="58"/>
  <c r="AI122" i="58"/>
  <c r="AH122" i="58"/>
  <c r="AH133" i="58" s="1"/>
  <c r="AH144" i="58" s="1"/>
  <c r="AG122" i="58"/>
  <c r="AG133" i="58" s="1"/>
  <c r="AG144" i="58" s="1"/>
  <c r="AF122" i="58"/>
  <c r="AF133" i="58" s="1"/>
  <c r="AF144" i="58" s="1"/>
  <c r="AE122" i="58"/>
  <c r="AD122" i="58"/>
  <c r="AD133" i="58" s="1"/>
  <c r="AD144" i="58" s="1"/>
  <c r="AC122" i="58"/>
  <c r="AC133" i="58" s="1"/>
  <c r="AC144" i="58" s="1"/>
  <c r="AB122" i="58"/>
  <c r="AB133" i="58" s="1"/>
  <c r="AB144" i="58" s="1"/>
  <c r="AA122" i="58"/>
  <c r="AA133" i="58" s="1"/>
  <c r="Z122" i="58"/>
  <c r="Z133" i="58" s="1"/>
  <c r="Z144" i="58" s="1"/>
  <c r="Y122" i="58"/>
  <c r="X122" i="58"/>
  <c r="W122" i="58"/>
  <c r="W133" i="58" s="1"/>
  <c r="W144" i="58" s="1"/>
  <c r="V122" i="58"/>
  <c r="U122" i="58"/>
  <c r="U133" i="58" s="1"/>
  <c r="U144" i="58" s="1"/>
  <c r="T122" i="58"/>
  <c r="T133" i="58" s="1"/>
  <c r="T144" i="58" s="1"/>
  <c r="S122" i="58"/>
  <c r="R122" i="58"/>
  <c r="R133" i="58" s="1"/>
  <c r="R144" i="58" s="1"/>
  <c r="Q122" i="58"/>
  <c r="P122" i="58"/>
  <c r="P133" i="58" s="1"/>
  <c r="P144" i="58" s="1"/>
  <c r="O122" i="58"/>
  <c r="O133" i="58" s="1"/>
  <c r="N122" i="58"/>
  <c r="N133" i="58" s="1"/>
  <c r="N144" i="58" s="1"/>
  <c r="M122" i="58"/>
  <c r="L122" i="58"/>
  <c r="K122" i="58"/>
  <c r="K133" i="58" s="1"/>
  <c r="K144" i="58" s="1"/>
  <c r="J122" i="58"/>
  <c r="B122" i="58"/>
  <c r="AV121" i="58"/>
  <c r="AU121" i="58"/>
  <c r="AU132" i="58" s="1"/>
  <c r="AU143" i="58" s="1"/>
  <c r="AT121" i="58"/>
  <c r="AT132" i="58" s="1"/>
  <c r="AT143" i="58" s="1"/>
  <c r="AS121" i="58"/>
  <c r="AS132" i="58" s="1"/>
  <c r="AS143" i="58" s="1"/>
  <c r="AR121" i="58"/>
  <c r="AQ121" i="58"/>
  <c r="AQ132" i="58" s="1"/>
  <c r="AP121" i="58"/>
  <c r="AO121" i="58"/>
  <c r="AN121" i="58"/>
  <c r="AN132" i="58" s="1"/>
  <c r="AN143" i="58" s="1"/>
  <c r="AM121" i="58"/>
  <c r="AM132" i="58" s="1"/>
  <c r="AL121" i="58"/>
  <c r="AL132" i="58" s="1"/>
  <c r="AL143" i="58" s="1"/>
  <c r="AK121" i="58"/>
  <c r="AJ121" i="58"/>
  <c r="AI121" i="58"/>
  <c r="AI132" i="58" s="1"/>
  <c r="AI143" i="58" s="1"/>
  <c r="AH121" i="58"/>
  <c r="AH132" i="58" s="1"/>
  <c r="AH143" i="58" s="1"/>
  <c r="AG121" i="58"/>
  <c r="AG132" i="58" s="1"/>
  <c r="AG143" i="58" s="1"/>
  <c r="AF121" i="58"/>
  <c r="AE121" i="58"/>
  <c r="AE132" i="58" s="1"/>
  <c r="AE143" i="58" s="1"/>
  <c r="AD121" i="58"/>
  <c r="AC121" i="58"/>
  <c r="AB121" i="58"/>
  <c r="AB132" i="58" s="1"/>
  <c r="AB143" i="58" s="1"/>
  <c r="AA121" i="58"/>
  <c r="AA132" i="58" s="1"/>
  <c r="Z121" i="58"/>
  <c r="Z132" i="58" s="1"/>
  <c r="Z143" i="58" s="1"/>
  <c r="Y121" i="58"/>
  <c r="X121" i="58"/>
  <c r="W121" i="58"/>
  <c r="W132" i="58" s="1"/>
  <c r="W143" i="58" s="1"/>
  <c r="V121" i="58"/>
  <c r="V132" i="58" s="1"/>
  <c r="V143" i="58" s="1"/>
  <c r="U121" i="58"/>
  <c r="U132" i="58" s="1"/>
  <c r="U143" i="58" s="1"/>
  <c r="T121" i="58"/>
  <c r="S121" i="58"/>
  <c r="S132" i="58" s="1"/>
  <c r="S143" i="58" s="1"/>
  <c r="R121" i="58"/>
  <c r="Q121" i="58"/>
  <c r="P121" i="58"/>
  <c r="P132" i="58" s="1"/>
  <c r="P143" i="58" s="1"/>
  <c r="O121" i="58"/>
  <c r="O132" i="58" s="1"/>
  <c r="O143" i="58" s="1"/>
  <c r="N121" i="58"/>
  <c r="N132" i="58" s="1"/>
  <c r="N143" i="58" s="1"/>
  <c r="M121" i="58"/>
  <c r="L121" i="58"/>
  <c r="K121" i="58"/>
  <c r="K132" i="58" s="1"/>
  <c r="K143" i="58" s="1"/>
  <c r="J121" i="58"/>
  <c r="J132" i="58" s="1"/>
  <c r="J143" i="58" s="1"/>
  <c r="B121" i="58"/>
  <c r="AV120" i="58"/>
  <c r="AV131" i="58" s="1"/>
  <c r="AV142" i="58" s="1"/>
  <c r="AU120" i="58"/>
  <c r="AT120" i="58"/>
  <c r="AS120" i="58"/>
  <c r="AS131" i="58" s="1"/>
  <c r="AS142" i="58" s="1"/>
  <c r="AR120" i="58"/>
  <c r="AR131" i="58" s="1"/>
  <c r="AQ120" i="58"/>
  <c r="AQ131" i="58" s="1"/>
  <c r="AQ142" i="58" s="1"/>
  <c r="AP120" i="58"/>
  <c r="AO120" i="58"/>
  <c r="AN120" i="58"/>
  <c r="AN131" i="58" s="1"/>
  <c r="AN142" i="58" s="1"/>
  <c r="AM120" i="58"/>
  <c r="AM131" i="58" s="1"/>
  <c r="AM142" i="58" s="1"/>
  <c r="AL120" i="58"/>
  <c r="AL131" i="58" s="1"/>
  <c r="AL142" i="58" s="1"/>
  <c r="AK120" i="58"/>
  <c r="AK131" i="58" s="1"/>
  <c r="AK142" i="58" s="1"/>
  <c r="AJ120" i="58"/>
  <c r="AJ131" i="58" s="1"/>
  <c r="AJ142" i="58" s="1"/>
  <c r="AI120" i="58"/>
  <c r="AH120" i="58"/>
  <c r="AG120" i="58"/>
  <c r="AG131" i="58" s="1"/>
  <c r="AG142" i="58" s="1"/>
  <c r="AF120" i="58"/>
  <c r="AF131" i="58" s="1"/>
  <c r="AF142" i="58" s="1"/>
  <c r="AE120" i="58"/>
  <c r="AD120" i="58"/>
  <c r="AC120" i="58"/>
  <c r="AB120" i="58"/>
  <c r="AB131" i="58" s="1"/>
  <c r="AB142" i="58" s="1"/>
  <c r="AA120" i="58"/>
  <c r="AA131" i="58" s="1"/>
  <c r="AA142" i="58" s="1"/>
  <c r="Z120" i="58"/>
  <c r="Z131" i="58" s="1"/>
  <c r="Z142" i="58" s="1"/>
  <c r="Y120" i="58"/>
  <c r="X120" i="58"/>
  <c r="X131" i="58" s="1"/>
  <c r="X142" i="58" s="1"/>
  <c r="W120" i="58"/>
  <c r="V120" i="58"/>
  <c r="U120" i="58"/>
  <c r="U131" i="58" s="1"/>
  <c r="U142" i="58" s="1"/>
  <c r="T120" i="58"/>
  <c r="T131" i="58" s="1"/>
  <c r="S120" i="58"/>
  <c r="S131" i="58" s="1"/>
  <c r="S142" i="58" s="1"/>
  <c r="R120" i="58"/>
  <c r="Q120" i="58"/>
  <c r="P120" i="58"/>
  <c r="P131" i="58" s="1"/>
  <c r="P142" i="58" s="1"/>
  <c r="O120" i="58"/>
  <c r="O131" i="58" s="1"/>
  <c r="O142" i="58" s="1"/>
  <c r="N120" i="58"/>
  <c r="N131" i="58" s="1"/>
  <c r="N142" i="58" s="1"/>
  <c r="M120" i="58"/>
  <c r="L120" i="58"/>
  <c r="L131" i="58" s="1"/>
  <c r="L142" i="58" s="1"/>
  <c r="K120" i="58"/>
  <c r="J120" i="58"/>
  <c r="C120" i="58"/>
  <c r="C131" i="58" s="1"/>
  <c r="C142" i="58" s="1"/>
  <c r="C166" i="58" s="1"/>
  <c r="B120" i="58"/>
  <c r="AV119" i="58"/>
  <c r="AV130" i="58" s="1"/>
  <c r="AV141" i="58" s="1"/>
  <c r="AU119" i="58"/>
  <c r="AT119" i="58"/>
  <c r="AT130" i="58" s="1"/>
  <c r="AT141" i="58" s="1"/>
  <c r="AS119" i="58"/>
  <c r="AS130" i="58" s="1"/>
  <c r="AS141" i="58" s="1"/>
  <c r="AR119" i="58"/>
  <c r="AR130" i="58" s="1"/>
  <c r="AR141" i="58" s="1"/>
  <c r="AQ119" i="58"/>
  <c r="AQ130" i="58" s="1"/>
  <c r="AQ141" i="58" s="1"/>
  <c r="AP119" i="58"/>
  <c r="AO119" i="58"/>
  <c r="AO130" i="58" s="1"/>
  <c r="AO141" i="58" s="1"/>
  <c r="AN119" i="58"/>
  <c r="AM119" i="58"/>
  <c r="AM130" i="58" s="1"/>
  <c r="AM141" i="58" s="1"/>
  <c r="AL119" i="58"/>
  <c r="AL130" i="58" s="1"/>
  <c r="AL141" i="58" s="1"/>
  <c r="AK119" i="58"/>
  <c r="AK130" i="58" s="1"/>
  <c r="AK141" i="58" s="1"/>
  <c r="AJ119" i="58"/>
  <c r="AJ130" i="58" s="1"/>
  <c r="AJ141" i="58" s="1"/>
  <c r="AI119" i="58"/>
  <c r="AH119" i="58"/>
  <c r="AH130" i="58" s="1"/>
  <c r="AH141" i="58" s="1"/>
  <c r="AG119" i="58"/>
  <c r="AG130" i="58" s="1"/>
  <c r="AG141" i="58" s="1"/>
  <c r="AF119" i="58"/>
  <c r="AF130" i="58" s="1"/>
  <c r="AF141" i="58" s="1"/>
  <c r="AE119" i="58"/>
  <c r="AE130" i="58" s="1"/>
  <c r="AE141" i="58" s="1"/>
  <c r="AD119" i="58"/>
  <c r="AC119" i="58"/>
  <c r="AC130" i="58" s="1"/>
  <c r="AC141" i="58" s="1"/>
  <c r="AB119" i="58"/>
  <c r="AA119" i="58"/>
  <c r="AA130" i="58" s="1"/>
  <c r="AA141" i="58" s="1"/>
  <c r="Z119" i="58"/>
  <c r="Z130" i="58" s="1"/>
  <c r="Z141" i="58" s="1"/>
  <c r="Y119" i="58"/>
  <c r="X119" i="58"/>
  <c r="X130" i="58" s="1"/>
  <c r="X141" i="58" s="1"/>
  <c r="W119" i="58"/>
  <c r="V119" i="58"/>
  <c r="V130" i="58" s="1"/>
  <c r="V141" i="58" s="1"/>
  <c r="U119" i="58"/>
  <c r="U130" i="58" s="1"/>
  <c r="U141" i="58" s="1"/>
  <c r="T119" i="58"/>
  <c r="S119" i="58"/>
  <c r="S130" i="58" s="1"/>
  <c r="S141" i="58" s="1"/>
  <c r="R119" i="58"/>
  <c r="Q119" i="58"/>
  <c r="Q130" i="58" s="1"/>
  <c r="Q141" i="58" s="1"/>
  <c r="P119" i="58"/>
  <c r="O119" i="58"/>
  <c r="O130" i="58" s="1"/>
  <c r="O141" i="58" s="1"/>
  <c r="N119" i="58"/>
  <c r="N130" i="58" s="1"/>
  <c r="N141" i="58" s="1"/>
  <c r="M119" i="58"/>
  <c r="L119" i="58"/>
  <c r="L130" i="58" s="1"/>
  <c r="L141" i="58" s="1"/>
  <c r="K119" i="58"/>
  <c r="J119" i="58"/>
  <c r="J130" i="58" s="1"/>
  <c r="J141" i="58" s="1"/>
  <c r="B119" i="58"/>
  <c r="B130" i="58" s="1"/>
  <c r="B141" i="58" s="1"/>
  <c r="AV118" i="58"/>
  <c r="AV129" i="58" s="1"/>
  <c r="AV140" i="58" s="1"/>
  <c r="AU118" i="58"/>
  <c r="AT118" i="58"/>
  <c r="AT129" i="58" s="1"/>
  <c r="AT140" i="58" s="1"/>
  <c r="AS118" i="58"/>
  <c r="AS129" i="58" s="1"/>
  <c r="AS140" i="58" s="1"/>
  <c r="AR118" i="58"/>
  <c r="AR129" i="58" s="1"/>
  <c r="AR140" i="58" s="1"/>
  <c r="AQ118" i="58"/>
  <c r="AQ129" i="58" s="1"/>
  <c r="AQ140" i="58" s="1"/>
  <c r="AP118" i="58"/>
  <c r="AO118" i="58"/>
  <c r="AO129" i="58" s="1"/>
  <c r="AO140" i="58" s="1"/>
  <c r="AN118" i="58"/>
  <c r="AN129" i="58" s="1"/>
  <c r="AN140" i="58" s="1"/>
  <c r="AM118" i="58"/>
  <c r="AM129" i="58" s="1"/>
  <c r="AL118" i="58"/>
  <c r="AL129" i="58" s="1"/>
  <c r="AL140" i="58" s="1"/>
  <c r="AK118" i="58"/>
  <c r="AK129" i="58" s="1"/>
  <c r="AK140" i="58" s="1"/>
  <c r="AJ118" i="58"/>
  <c r="AJ129" i="58" s="1"/>
  <c r="AJ140" i="58" s="1"/>
  <c r="AI118" i="58"/>
  <c r="AI129" i="58" s="1"/>
  <c r="AI140" i="58" s="1"/>
  <c r="AH118" i="58"/>
  <c r="AH129" i="58" s="1"/>
  <c r="AH140" i="58" s="1"/>
  <c r="AG118" i="58"/>
  <c r="AG129" i="58" s="1"/>
  <c r="AF118" i="58"/>
  <c r="AF129" i="58" s="1"/>
  <c r="AF140" i="58" s="1"/>
  <c r="AE118" i="58"/>
  <c r="AE129" i="58" s="1"/>
  <c r="AE140" i="58" s="1"/>
  <c r="AD118" i="58"/>
  <c r="AC118" i="58"/>
  <c r="AB118" i="58"/>
  <c r="AB129" i="58" s="1"/>
  <c r="AB140" i="58" s="1"/>
  <c r="AA118" i="58"/>
  <c r="AA129" i="58" s="1"/>
  <c r="AA140" i="58" s="1"/>
  <c r="Z118" i="58"/>
  <c r="Z129" i="58" s="1"/>
  <c r="Z140" i="58" s="1"/>
  <c r="Y118" i="58"/>
  <c r="Y129" i="58" s="1"/>
  <c r="Y140" i="58" s="1"/>
  <c r="X118" i="58"/>
  <c r="X129" i="58" s="1"/>
  <c r="X140" i="58" s="1"/>
  <c r="W118" i="58"/>
  <c r="V118" i="58"/>
  <c r="V129" i="58" s="1"/>
  <c r="V140" i="58" s="1"/>
  <c r="U118" i="58"/>
  <c r="U129" i="58" s="1"/>
  <c r="T118" i="58"/>
  <c r="T129" i="58" s="1"/>
  <c r="T140" i="58" s="1"/>
  <c r="S118" i="58"/>
  <c r="S129" i="58" s="1"/>
  <c r="S140" i="58" s="1"/>
  <c r="R118" i="58"/>
  <c r="Q118" i="58"/>
  <c r="Q129" i="58" s="1"/>
  <c r="Q140" i="58" s="1"/>
  <c r="P118" i="58"/>
  <c r="P129" i="58" s="1"/>
  <c r="P140" i="58" s="1"/>
  <c r="O118" i="58"/>
  <c r="O129" i="58" s="1"/>
  <c r="O140" i="58" s="1"/>
  <c r="N118" i="58"/>
  <c r="N129" i="58" s="1"/>
  <c r="N140" i="58" s="1"/>
  <c r="M118" i="58"/>
  <c r="M129" i="58" s="1"/>
  <c r="L118" i="58"/>
  <c r="L129" i="58" s="1"/>
  <c r="L140" i="58" s="1"/>
  <c r="K118" i="58"/>
  <c r="J118" i="58"/>
  <c r="J129" i="58" s="1"/>
  <c r="J140" i="58" s="1"/>
  <c r="B118" i="58"/>
  <c r="AV117" i="58"/>
  <c r="AV128" i="58" s="1"/>
  <c r="AV139" i="58" s="1"/>
  <c r="AU117" i="58"/>
  <c r="AU128" i="58" s="1"/>
  <c r="AU139" i="58" s="1"/>
  <c r="AT117" i="58"/>
  <c r="AT128" i="58" s="1"/>
  <c r="AT139" i="58" s="1"/>
  <c r="AS117" i="58"/>
  <c r="AS128" i="58" s="1"/>
  <c r="AS139" i="58" s="1"/>
  <c r="AR117" i="58"/>
  <c r="AQ117" i="58"/>
  <c r="AQ128" i="58" s="1"/>
  <c r="AQ139" i="58" s="1"/>
  <c r="AP117" i="58"/>
  <c r="AP128" i="58" s="1"/>
  <c r="AP139" i="58" s="1"/>
  <c r="AO117" i="58"/>
  <c r="AO128" i="58" s="1"/>
  <c r="AO139" i="58" s="1"/>
  <c r="AN117" i="58"/>
  <c r="AN128" i="58" s="1"/>
  <c r="AN139" i="58" s="1"/>
  <c r="AM117" i="58"/>
  <c r="AM128" i="58" s="1"/>
  <c r="AL117" i="58"/>
  <c r="AL128" i="58" s="1"/>
  <c r="AL139" i="58" s="1"/>
  <c r="AK117" i="58"/>
  <c r="AJ117" i="58"/>
  <c r="AI117" i="58"/>
  <c r="AI128" i="58" s="1"/>
  <c r="AI139" i="58" s="1"/>
  <c r="AH117" i="58"/>
  <c r="AH128" i="58" s="1"/>
  <c r="AH139" i="58" s="1"/>
  <c r="AG117" i="58"/>
  <c r="AG128" i="58" s="1"/>
  <c r="AG139" i="58" s="1"/>
  <c r="AF117" i="58"/>
  <c r="AE117" i="58"/>
  <c r="AE128" i="58" s="1"/>
  <c r="AE139" i="58" s="1"/>
  <c r="AD117" i="58"/>
  <c r="AD128" i="58" s="1"/>
  <c r="AC117" i="58"/>
  <c r="AC128" i="58" s="1"/>
  <c r="AC139" i="58" s="1"/>
  <c r="AB117" i="58"/>
  <c r="AB128" i="58" s="1"/>
  <c r="AB139" i="58" s="1"/>
  <c r="AA117" i="58"/>
  <c r="AA128" i="58" s="1"/>
  <c r="AA139" i="58" s="1"/>
  <c r="Z117" i="58"/>
  <c r="Z128" i="58" s="1"/>
  <c r="Z139" i="58" s="1"/>
  <c r="Y117" i="58"/>
  <c r="X117" i="58"/>
  <c r="X128" i="58" s="1"/>
  <c r="X139" i="58" s="1"/>
  <c r="W117" i="58"/>
  <c r="W128" i="58" s="1"/>
  <c r="W139" i="58" s="1"/>
  <c r="V117" i="58"/>
  <c r="V128" i="58" s="1"/>
  <c r="V139" i="58" s="1"/>
  <c r="U117" i="58"/>
  <c r="U128" i="58" s="1"/>
  <c r="U139" i="58" s="1"/>
  <c r="T117" i="58"/>
  <c r="S117" i="58"/>
  <c r="S128" i="58" s="1"/>
  <c r="S139" i="58" s="1"/>
  <c r="R117" i="58"/>
  <c r="Q117" i="58"/>
  <c r="Q128" i="58" s="1"/>
  <c r="Q139" i="58" s="1"/>
  <c r="P117" i="58"/>
  <c r="P128" i="58" s="1"/>
  <c r="P139" i="58" s="1"/>
  <c r="O117" i="58"/>
  <c r="O128" i="58" s="1"/>
  <c r="O139" i="58" s="1"/>
  <c r="N117" i="58"/>
  <c r="N128" i="58" s="1"/>
  <c r="N139" i="58" s="1"/>
  <c r="M117" i="58"/>
  <c r="L117" i="58"/>
  <c r="L128" i="58" s="1"/>
  <c r="L139" i="58" s="1"/>
  <c r="K117" i="58"/>
  <c r="K128" i="58" s="1"/>
  <c r="K139" i="58" s="1"/>
  <c r="J117" i="58"/>
  <c r="J128" i="58" s="1"/>
  <c r="J139" i="58" s="1"/>
  <c r="B117" i="58"/>
  <c r="AV116" i="58"/>
  <c r="AV127" i="58" s="1"/>
  <c r="AV138" i="58" s="1"/>
  <c r="AU116" i="58"/>
  <c r="AU127" i="58" s="1"/>
  <c r="AU138" i="58" s="1"/>
  <c r="AT116" i="58"/>
  <c r="AT127" i="58" s="1"/>
  <c r="AT138" i="58" s="1"/>
  <c r="AS116" i="58"/>
  <c r="AS127" i="58" s="1"/>
  <c r="AR116" i="58"/>
  <c r="AR127" i="58" s="1"/>
  <c r="AR138" i="58" s="1"/>
  <c r="AQ116" i="58"/>
  <c r="AP116" i="58"/>
  <c r="AO116" i="58"/>
  <c r="AN116" i="58"/>
  <c r="AN127" i="58" s="1"/>
  <c r="AN138" i="58" s="1"/>
  <c r="AM116" i="58"/>
  <c r="AM127" i="58" s="1"/>
  <c r="AM138" i="58" s="1"/>
  <c r="AL116" i="58"/>
  <c r="AK116" i="58"/>
  <c r="AJ116" i="58"/>
  <c r="AJ127" i="58" s="1"/>
  <c r="AJ138" i="58" s="1"/>
  <c r="AI116" i="58"/>
  <c r="AI127" i="58" s="1"/>
  <c r="AI138" i="58" s="1"/>
  <c r="AH116" i="58"/>
  <c r="AH127" i="58" s="1"/>
  <c r="AH138" i="58" s="1"/>
  <c r="AG116" i="58"/>
  <c r="AG127" i="58" s="1"/>
  <c r="AG138" i="58" s="1"/>
  <c r="AF116" i="58"/>
  <c r="AF127" i="58" s="1"/>
  <c r="AF138" i="58" s="1"/>
  <c r="AE116" i="58"/>
  <c r="AD116" i="58"/>
  <c r="AC116" i="58"/>
  <c r="AC127" i="58" s="1"/>
  <c r="AC138" i="58" s="1"/>
  <c r="AB116" i="58"/>
  <c r="AB127" i="58" s="1"/>
  <c r="AB138" i="58" s="1"/>
  <c r="AA116" i="58"/>
  <c r="AA127" i="58" s="1"/>
  <c r="AA138" i="58" s="1"/>
  <c r="Z116" i="58"/>
  <c r="Y116" i="58"/>
  <c r="X116" i="58"/>
  <c r="X127" i="58" s="1"/>
  <c r="X138" i="58" s="1"/>
  <c r="W116" i="58"/>
  <c r="W127" i="58" s="1"/>
  <c r="W138" i="58" s="1"/>
  <c r="V116" i="58"/>
  <c r="V127" i="58" s="1"/>
  <c r="V138" i="58" s="1"/>
  <c r="U116" i="58"/>
  <c r="U127" i="58" s="1"/>
  <c r="U138" i="58" s="1"/>
  <c r="T116" i="58"/>
  <c r="T127" i="58" s="1"/>
  <c r="S116" i="58"/>
  <c r="R116" i="58"/>
  <c r="Q116" i="58"/>
  <c r="P116" i="58"/>
  <c r="P127" i="58" s="1"/>
  <c r="P138" i="58" s="1"/>
  <c r="O116" i="58"/>
  <c r="O127" i="58" s="1"/>
  <c r="O138" i="58" s="1"/>
  <c r="N116" i="58"/>
  <c r="M116" i="58"/>
  <c r="L116" i="58"/>
  <c r="L127" i="58" s="1"/>
  <c r="L138" i="58" s="1"/>
  <c r="K116" i="58"/>
  <c r="K127" i="58" s="1"/>
  <c r="K138" i="58" s="1"/>
  <c r="J116" i="58"/>
  <c r="J127" i="58" s="1"/>
  <c r="J138" i="58" s="1"/>
  <c r="B116" i="58"/>
  <c r="B127" i="58" s="1"/>
  <c r="B138" i="58" s="1"/>
  <c r="C105" i="58"/>
  <c r="C116" i="58" s="1"/>
  <c r="C127" i="58" s="1"/>
  <c r="C138" i="58" s="1"/>
  <c r="C162" i="58" s="1"/>
  <c r="B100" i="58"/>
  <c r="B159" i="58" s="1"/>
  <c r="B99" i="58"/>
  <c r="B158" i="58" s="1"/>
  <c r="B98" i="58"/>
  <c r="B157" i="58" s="1"/>
  <c r="B97" i="58"/>
  <c r="B156" i="58" s="1"/>
  <c r="B96" i="58"/>
  <c r="B95" i="58"/>
  <c r="B154" i="58" s="1"/>
  <c r="B94" i="58"/>
  <c r="B153" i="58" s="1"/>
  <c r="B93" i="58"/>
  <c r="B152" i="58" s="1"/>
  <c r="B92" i="58"/>
  <c r="B151" i="58" s="1"/>
  <c r="F88" i="58"/>
  <c r="E88" i="58"/>
  <c r="F87" i="58"/>
  <c r="E87" i="58"/>
  <c r="C85" i="58"/>
  <c r="C96" i="58" s="1"/>
  <c r="C155" i="58" s="1"/>
  <c r="C83" i="58"/>
  <c r="C94" i="58" s="1"/>
  <c r="C153" i="58" s="1"/>
  <c r="C78" i="58"/>
  <c r="G77" i="58"/>
  <c r="C77" i="58"/>
  <c r="G76" i="58"/>
  <c r="C76" i="58"/>
  <c r="C75" i="58"/>
  <c r="C110" i="58" s="1"/>
  <c r="C121" i="58" s="1"/>
  <c r="C132" i="58" s="1"/>
  <c r="C143" i="58" s="1"/>
  <c r="C167" i="58" s="1"/>
  <c r="C74" i="58"/>
  <c r="C109" i="58" s="1"/>
  <c r="C73" i="58"/>
  <c r="C72" i="58"/>
  <c r="C107" i="58" s="1"/>
  <c r="C118" i="58" s="1"/>
  <c r="C129" i="58" s="1"/>
  <c r="C140" i="58" s="1"/>
  <c r="C164" i="58" s="1"/>
  <c r="C71" i="58"/>
  <c r="C70" i="58"/>
  <c r="C81" i="58" s="1"/>
  <c r="C92" i="58" s="1"/>
  <c r="C151" i="58" s="1"/>
  <c r="J67" i="58"/>
  <c r="J104" i="58" s="1"/>
  <c r="I67" i="58"/>
  <c r="H67" i="58"/>
  <c r="G67" i="58"/>
  <c r="G64" i="58"/>
  <c r="E64" i="58" s="1"/>
  <c r="F64" i="58"/>
  <c r="D64" i="58" s="1"/>
  <c r="G63" i="58"/>
  <c r="E63" i="58" s="1"/>
  <c r="F63" i="58"/>
  <c r="D63" i="58" s="1"/>
  <c r="G62" i="58"/>
  <c r="E62" i="58" s="1"/>
  <c r="F62" i="58"/>
  <c r="D62" i="58" s="1"/>
  <c r="G61" i="58"/>
  <c r="E61" i="58" s="1"/>
  <c r="F61" i="58"/>
  <c r="D61" i="58" s="1"/>
  <c r="G60" i="58"/>
  <c r="E60" i="58" s="1"/>
  <c r="F60" i="58"/>
  <c r="D60" i="58" s="1"/>
  <c r="G59" i="58"/>
  <c r="E59" i="58" s="1"/>
  <c r="F59" i="58"/>
  <c r="D59" i="58" s="1"/>
  <c r="G58" i="58"/>
  <c r="E58" i="58" s="1"/>
  <c r="F58" i="58"/>
  <c r="D58" i="58" s="1"/>
  <c r="G57" i="58"/>
  <c r="E57" i="58" s="1"/>
  <c r="F57" i="58"/>
  <c r="D57" i="58" s="1"/>
  <c r="G56" i="58"/>
  <c r="E56" i="58" s="1"/>
  <c r="F56" i="58"/>
  <c r="D56" i="58" s="1"/>
  <c r="B52" i="58"/>
  <c r="B50" i="58"/>
  <c r="B46" i="58"/>
  <c r="B45" i="58"/>
  <c r="B44" i="58"/>
  <c r="I50" i="58" s="1"/>
  <c r="B43" i="58"/>
  <c r="O25" i="58"/>
  <c r="J25" i="58"/>
  <c r="C25" i="58"/>
  <c r="B25" i="58"/>
  <c r="N23" i="58"/>
  <c r="N30" i="58" s="1"/>
  <c r="M23" i="58"/>
  <c r="L23" i="58"/>
  <c r="K23" i="58"/>
  <c r="K30" i="58" s="1"/>
  <c r="J23" i="58"/>
  <c r="C23" i="58"/>
  <c r="C24" i="58" s="1"/>
  <c r="B23" i="58"/>
  <c r="B24" i="58" s="1"/>
  <c r="J22" i="58"/>
  <c r="B20" i="58"/>
  <c r="D15" i="58"/>
  <c r="E14" i="58"/>
  <c r="K12" i="58" a="1"/>
  <c r="K12" i="58" s="1"/>
  <c r="K11" i="58" s="1"/>
  <c r="J12" i="58" a="1"/>
  <c r="J12" i="58" s="1"/>
  <c r="J11" i="58" s="1"/>
  <c r="K6" i="58"/>
  <c r="J6" i="58"/>
  <c r="H6" i="58"/>
  <c r="G6" i="58"/>
  <c r="F6" i="58"/>
  <c r="E6" i="58"/>
  <c r="D6" i="58"/>
  <c r="J5" i="58"/>
  <c r="K4" i="58"/>
  <c r="A1" i="58"/>
  <c r="E75" i="58" l="1"/>
  <c r="E86" i="58" s="1"/>
  <c r="E97" i="58" s="1"/>
  <c r="E72" i="58"/>
  <c r="E83" i="58" s="1"/>
  <c r="E94" i="58" s="1"/>
  <c r="E74" i="58"/>
  <c r="E85" i="58" s="1"/>
  <c r="E96" i="58" s="1"/>
  <c r="E78" i="58"/>
  <c r="E89" i="58" s="1"/>
  <c r="E100" i="58" s="1"/>
  <c r="E70" i="58"/>
  <c r="E81" i="58" s="1"/>
  <c r="E92" i="58" s="1"/>
  <c r="E71" i="58"/>
  <c r="E82" i="58" s="1"/>
  <c r="E93" i="58" s="1"/>
  <c r="H77" i="58"/>
  <c r="I77" i="58" s="1"/>
  <c r="J43" i="58"/>
  <c r="J44" i="58"/>
  <c r="K7" i="58"/>
  <c r="J7" i="58"/>
  <c r="B51" i="58"/>
  <c r="J45" i="58"/>
  <c r="I51" i="58"/>
  <c r="C112" i="58"/>
  <c r="C123" i="58" s="1"/>
  <c r="C134" i="58" s="1"/>
  <c r="C145" i="58" s="1"/>
  <c r="C169" i="58" s="1"/>
  <c r="C88" i="58"/>
  <c r="C99" i="58" s="1"/>
  <c r="C158" i="58" s="1"/>
  <c r="N31" i="58"/>
  <c r="N34" i="58" s="1"/>
  <c r="N35" i="58" s="1"/>
  <c r="I91" i="58"/>
  <c r="H91" i="58"/>
  <c r="G88" i="58"/>
  <c r="H88" i="58" s="1"/>
  <c r="I88" i="58" s="1"/>
  <c r="C111" i="58"/>
  <c r="C122" i="58" s="1"/>
  <c r="C133" i="58" s="1"/>
  <c r="C144" i="58" s="1"/>
  <c r="C168" i="58" s="1"/>
  <c r="C87" i="58"/>
  <c r="C98" i="58" s="1"/>
  <c r="C157" i="58" s="1"/>
  <c r="B49" i="58"/>
  <c r="I49" i="58"/>
  <c r="J8" i="58"/>
  <c r="L30" i="58"/>
  <c r="E73" i="58"/>
  <c r="E84" i="58" s="1"/>
  <c r="E95" i="58" s="1"/>
  <c r="K67" i="58"/>
  <c r="K104" i="58" s="1"/>
  <c r="M30" i="58"/>
  <c r="M31" i="58" s="1"/>
  <c r="K31" i="58"/>
  <c r="K34" i="58" s="1"/>
  <c r="K35" i="58" s="1"/>
  <c r="L4" i="58"/>
  <c r="K22" i="58"/>
  <c r="G87" i="58"/>
  <c r="H87" i="58" s="1"/>
  <c r="I87" i="58" s="1"/>
  <c r="J46" i="58"/>
  <c r="I52" i="58"/>
  <c r="C237" i="58"/>
  <c r="C178" i="58"/>
  <c r="C190" i="58" s="1"/>
  <c r="C201" i="58" s="1"/>
  <c r="C212" i="58" s="1"/>
  <c r="C224" i="58" s="1"/>
  <c r="K5" i="58"/>
  <c r="C106" i="58"/>
  <c r="C117" i="58" s="1"/>
  <c r="C128" i="58" s="1"/>
  <c r="C139" i="58" s="1"/>
  <c r="C163" i="58" s="1"/>
  <c r="C82" i="58"/>
  <c r="C93" i="58" s="1"/>
  <c r="C152" i="58" s="1"/>
  <c r="J30" i="58"/>
  <c r="J31" i="58" s="1"/>
  <c r="C179" i="58"/>
  <c r="C191" i="58" s="1"/>
  <c r="C202" i="58" s="1"/>
  <c r="C213" i="58" s="1"/>
  <c r="C225" i="58" s="1"/>
  <c r="C238" i="58"/>
  <c r="C86" i="58"/>
  <c r="C97" i="58" s="1"/>
  <c r="C156" i="58" s="1"/>
  <c r="C174" i="58"/>
  <c r="C186" i="58" s="1"/>
  <c r="C197" i="58" s="1"/>
  <c r="C208" i="58" s="1"/>
  <c r="C220" i="58" s="1"/>
  <c r="C233" i="58"/>
  <c r="C113" i="58"/>
  <c r="C124" i="58" s="1"/>
  <c r="C135" i="58" s="1"/>
  <c r="C146" i="58" s="1"/>
  <c r="C170" i="58" s="1"/>
  <c r="C89" i="58"/>
  <c r="C100" i="58" s="1"/>
  <c r="C159" i="58" s="1"/>
  <c r="C235" i="58"/>
  <c r="C176" i="58"/>
  <c r="C188" i="58" s="1"/>
  <c r="C199" i="58" s="1"/>
  <c r="C210" i="58" s="1"/>
  <c r="C222" i="58" s="1"/>
  <c r="T142" i="58"/>
  <c r="AR142" i="58"/>
  <c r="D248" i="58"/>
  <c r="B233" i="58"/>
  <c r="V146" i="58"/>
  <c r="D258" i="58"/>
  <c r="B186" i="58"/>
  <c r="C84" i="58"/>
  <c r="C95" i="58" s="1"/>
  <c r="C154" i="58" s="1"/>
  <c r="C108" i="58"/>
  <c r="C119" i="58" s="1"/>
  <c r="C130" i="58" s="1"/>
  <c r="C141" i="58" s="1"/>
  <c r="C165" i="58" s="1"/>
  <c r="AG140" i="58"/>
  <c r="P146" i="58"/>
  <c r="Q142" i="58"/>
  <c r="AI142" i="58"/>
  <c r="Y146" i="58"/>
  <c r="D252" i="58"/>
  <c r="B237" i="58"/>
  <c r="AP146" i="58"/>
  <c r="AE138" i="58"/>
  <c r="AA146" i="58"/>
  <c r="V142" i="58"/>
  <c r="W142" i="58"/>
  <c r="AH146" i="58"/>
  <c r="J146" i="58"/>
  <c r="D263" i="58"/>
  <c r="B191" i="58"/>
  <c r="J142" i="58"/>
  <c r="M138" i="58"/>
  <c r="AM146" i="58"/>
  <c r="K142" i="58"/>
  <c r="AU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D254" i="55"/>
  <c r="J254" i="55" s="1"/>
  <c r="A254" i="55"/>
  <c r="D253" i="55"/>
  <c r="O253" i="55" s="1"/>
  <c r="A253" i="55"/>
  <c r="D252" i="55"/>
  <c r="J252" i="55" s="1"/>
  <c r="A252" i="55"/>
  <c r="D251" i="55"/>
  <c r="J251" i="55" s="1"/>
  <c r="A251" i="55"/>
  <c r="D250" i="55"/>
  <c r="J250" i="55" s="1"/>
  <c r="A250" i="55"/>
  <c r="D249" i="55"/>
  <c r="J249" i="55" s="1"/>
  <c r="A249" i="55"/>
  <c r="D248" i="55"/>
  <c r="J248" i="55" s="1"/>
  <c r="A248" i="55"/>
  <c r="D247" i="55"/>
  <c r="J247" i="55" s="1"/>
  <c r="A247" i="55"/>
  <c r="D246" i="55"/>
  <c r="J246" i="55" s="1"/>
  <c r="A246" i="55"/>
  <c r="D245" i="55"/>
  <c r="J245" i="55" s="1"/>
  <c r="A245" i="55"/>
  <c r="D244" i="55"/>
  <c r="J244" i="55" s="1"/>
  <c r="A244" i="55"/>
  <c r="D243" i="55"/>
  <c r="O243" i="55" s="1"/>
  <c r="A243" i="55"/>
  <c r="D242" i="55"/>
  <c r="J242" i="55" s="1"/>
  <c r="A242" i="55"/>
  <c r="D241" i="55"/>
  <c r="O241" i="55" s="1"/>
  <c r="A241" i="55"/>
  <c r="D240" i="55"/>
  <c r="J240" i="55" s="1"/>
  <c r="A240" i="55"/>
  <c r="D239" i="55"/>
  <c r="O239" i="55" s="1"/>
  <c r="A239" i="55"/>
  <c r="D238" i="55"/>
  <c r="O238" i="55" s="1"/>
  <c r="A238" i="55"/>
  <c r="D237" i="55"/>
  <c r="O237" i="55" s="1"/>
  <c r="A237" i="55"/>
  <c r="D236" i="55"/>
  <c r="O236" i="55" s="1"/>
  <c r="A236" i="55"/>
  <c r="D235" i="55"/>
  <c r="J235" i="55" s="1"/>
  <c r="A235" i="55"/>
  <c r="D234" i="55"/>
  <c r="O234" i="55" s="1"/>
  <c r="A234" i="55"/>
  <c r="D233" i="55"/>
  <c r="O233" i="55" s="1"/>
  <c r="A233" i="55"/>
  <c r="D232" i="55"/>
  <c r="J232" i="55" s="1"/>
  <c r="A232" i="55"/>
  <c r="D231" i="55"/>
  <c r="J231" i="55" s="1"/>
  <c r="A231" i="55"/>
  <c r="A230" i="55"/>
  <c r="D229" i="55"/>
  <c r="J229" i="55" s="1"/>
  <c r="A229" i="55"/>
  <c r="D228" i="55"/>
  <c r="J228" i="55" s="1"/>
  <c r="A228" i="55"/>
  <c r="D227" i="55"/>
  <c r="J227" i="55" s="1"/>
  <c r="A227" i="55"/>
  <c r="D226" i="55"/>
  <c r="J226" i="55" s="1"/>
  <c r="A226" i="55"/>
  <c r="D225" i="55"/>
  <c r="J225" i="55" s="1"/>
  <c r="A225" i="55"/>
  <c r="D224" i="55"/>
  <c r="J224" i="55" s="1"/>
  <c r="A224" i="55"/>
  <c r="D223" i="55"/>
  <c r="J223" i="55" s="1"/>
  <c r="A223" i="55"/>
  <c r="D222" i="55"/>
  <c r="J222" i="55" s="1"/>
  <c r="A222" i="55"/>
  <c r="D221" i="55"/>
  <c r="J221" i="55" s="1"/>
  <c r="A221" i="55"/>
  <c r="D220" i="55"/>
  <c r="J220" i="55" s="1"/>
  <c r="A220" i="55"/>
  <c r="D219" i="55"/>
  <c r="J219" i="55" s="1"/>
  <c r="A219" i="55"/>
  <c r="D218" i="55"/>
  <c r="J218" i="55" s="1"/>
  <c r="A218" i="55"/>
  <c r="D217" i="55"/>
  <c r="J217" i="55" s="1"/>
  <c r="A217" i="55"/>
  <c r="D216" i="55"/>
  <c r="J216" i="55" s="1"/>
  <c r="A216" i="55"/>
  <c r="D215" i="55"/>
  <c r="J215" i="55" s="1"/>
  <c r="A215" i="55"/>
  <c r="D214" i="55"/>
  <c r="J214" i="55" s="1"/>
  <c r="A214" i="55"/>
  <c r="D213" i="55"/>
  <c r="J213" i="55" s="1"/>
  <c r="A213" i="55"/>
  <c r="D212" i="55"/>
  <c r="J212" i="55" s="1"/>
  <c r="A212" i="55"/>
  <c r="A211" i="55"/>
  <c r="D210" i="55"/>
  <c r="J210" i="55" s="1"/>
  <c r="A210" i="55"/>
  <c r="D209" i="55"/>
  <c r="J209" i="55" s="1"/>
  <c r="A209" i="55"/>
  <c r="D208" i="55"/>
  <c r="J208" i="55" s="1"/>
  <c r="A208" i="55"/>
  <c r="D207" i="55"/>
  <c r="J207" i="55" s="1"/>
  <c r="A207" i="55"/>
  <c r="D206" i="55"/>
  <c r="J206" i="55" s="1"/>
  <c r="A206" i="55"/>
  <c r="D205" i="55"/>
  <c r="J205" i="55" s="1"/>
  <c r="A205" i="55"/>
  <c r="D204" i="55"/>
  <c r="J204" i="55" s="1"/>
  <c r="A204" i="55"/>
  <c r="D203" i="55"/>
  <c r="J203" i="55" s="1"/>
  <c r="A203" i="55"/>
  <c r="D202" i="55"/>
  <c r="J202" i="55" s="1"/>
  <c r="A202" i="55"/>
  <c r="D201" i="55"/>
  <c r="O201" i="55" s="1"/>
  <c r="A201" i="55"/>
  <c r="D200" i="55"/>
  <c r="O200" i="55" s="1"/>
  <c r="A200" i="55"/>
  <c r="D199" i="55"/>
  <c r="O199" i="55" s="1"/>
  <c r="A199" i="55"/>
  <c r="D198" i="55"/>
  <c r="O198" i="55" s="1"/>
  <c r="A198" i="55"/>
  <c r="D197" i="55"/>
  <c r="J197" i="55" s="1"/>
  <c r="A197" i="55"/>
  <c r="D196" i="55"/>
  <c r="O196" i="55" s="1"/>
  <c r="A196" i="55"/>
  <c r="D195" i="55"/>
  <c r="O195" i="55" s="1"/>
  <c r="A195" i="55"/>
  <c r="D194" i="55"/>
  <c r="J194" i="55" s="1"/>
  <c r="A194" i="55"/>
  <c r="D193" i="55"/>
  <c r="J193" i="55" s="1"/>
  <c r="A193" i="55"/>
  <c r="A192" i="55"/>
  <c r="D191" i="55"/>
  <c r="J191" i="55" s="1"/>
  <c r="A191" i="55"/>
  <c r="D190" i="55"/>
  <c r="J190" i="55" s="1"/>
  <c r="A190" i="55"/>
  <c r="D189" i="55"/>
  <c r="J189" i="55" s="1"/>
  <c r="A189" i="55"/>
  <c r="D188" i="55"/>
  <c r="J188" i="55" s="1"/>
  <c r="A188" i="55"/>
  <c r="D187" i="55"/>
  <c r="J187" i="55" s="1"/>
  <c r="A187" i="55"/>
  <c r="D186" i="55"/>
  <c r="J186" i="55" s="1"/>
  <c r="A186" i="55"/>
  <c r="D185" i="55"/>
  <c r="J185" i="55" s="1"/>
  <c r="A185" i="55"/>
  <c r="D184" i="55"/>
  <c r="J184" i="55" s="1"/>
  <c r="A184" i="55"/>
  <c r="D183" i="55"/>
  <c r="J183" i="55" s="1"/>
  <c r="A183" i="55"/>
  <c r="D182" i="55"/>
  <c r="J182" i="55" s="1"/>
  <c r="A182" i="55"/>
  <c r="D181" i="55"/>
  <c r="J181" i="55" s="1"/>
  <c r="A181" i="55"/>
  <c r="D180" i="55"/>
  <c r="J180" i="55" s="1"/>
  <c r="A180" i="55"/>
  <c r="D179" i="55"/>
  <c r="J179" i="55" s="1"/>
  <c r="A179" i="55"/>
  <c r="D178" i="55"/>
  <c r="J178" i="55" s="1"/>
  <c r="A178" i="55"/>
  <c r="D177" i="55"/>
  <c r="J177" i="55" s="1"/>
  <c r="A177" i="55"/>
  <c r="D176" i="55"/>
  <c r="J176" i="55" s="1"/>
  <c r="A176" i="55"/>
  <c r="D175" i="55"/>
  <c r="J175" i="55" s="1"/>
  <c r="A175" i="55"/>
  <c r="D174" i="55"/>
  <c r="J174" i="55" s="1"/>
  <c r="A174" i="55"/>
  <c r="A173" i="55"/>
  <c r="D172" i="55"/>
  <c r="J172" i="55" s="1"/>
  <c r="A172" i="55"/>
  <c r="D171" i="55"/>
  <c r="J171" i="55" s="1"/>
  <c r="A171" i="55"/>
  <c r="D170" i="55"/>
  <c r="J170" i="55" s="1"/>
  <c r="A170" i="55"/>
  <c r="D169" i="55"/>
  <c r="J169" i="55" s="1"/>
  <c r="A169" i="55"/>
  <c r="D168" i="55"/>
  <c r="J168" i="55" s="1"/>
  <c r="A168" i="55"/>
  <c r="D167" i="55"/>
  <c r="J167" i="55" s="1"/>
  <c r="A167" i="55"/>
  <c r="D166" i="55"/>
  <c r="J166" i="55" s="1"/>
  <c r="A166" i="55"/>
  <c r="D165" i="55"/>
  <c r="J165" i="55" s="1"/>
  <c r="A165" i="55"/>
  <c r="D164" i="55"/>
  <c r="J164" i="55" s="1"/>
  <c r="A164" i="55"/>
  <c r="D163" i="55"/>
  <c r="J163" i="55" s="1"/>
  <c r="A163" i="55"/>
  <c r="D162" i="55"/>
  <c r="J162" i="55" s="1"/>
  <c r="A162" i="55"/>
  <c r="D161" i="55"/>
  <c r="O161" i="55" s="1"/>
  <c r="A161" i="55"/>
  <c r="D160" i="55"/>
  <c r="O160" i="55" s="1"/>
  <c r="A160" i="55"/>
  <c r="D159" i="55"/>
  <c r="J159" i="55" s="1"/>
  <c r="A159" i="55"/>
  <c r="D158" i="55"/>
  <c r="J158" i="55" s="1"/>
  <c r="A158" i="55"/>
  <c r="D157" i="55"/>
  <c r="J157" i="55" s="1"/>
  <c r="A157" i="55"/>
  <c r="D156" i="55"/>
  <c r="J156" i="55" s="1"/>
  <c r="A156" i="55"/>
  <c r="D155" i="55"/>
  <c r="J155" i="55" s="1"/>
  <c r="A155" i="55"/>
  <c r="A154" i="55"/>
  <c r="D153" i="55"/>
  <c r="J153" i="55" s="1"/>
  <c r="A153" i="55"/>
  <c r="D152" i="55"/>
  <c r="J152" i="55" s="1"/>
  <c r="A152" i="55"/>
  <c r="D151" i="55"/>
  <c r="O151" i="55" s="1"/>
  <c r="A151" i="55"/>
  <c r="D150" i="55"/>
  <c r="J150" i="55" s="1"/>
  <c r="A150" i="55"/>
  <c r="D149" i="55"/>
  <c r="J149" i="55" s="1"/>
  <c r="A149" i="55"/>
  <c r="D148" i="55"/>
  <c r="J148" i="55" s="1"/>
  <c r="A148" i="55"/>
  <c r="D147" i="55"/>
  <c r="J147" i="55" s="1"/>
  <c r="A147" i="55"/>
  <c r="D146" i="55"/>
  <c r="J146" i="55" s="1"/>
  <c r="A146" i="55"/>
  <c r="D145" i="55"/>
  <c r="J145" i="55" s="1"/>
  <c r="A145" i="55"/>
  <c r="D144" i="55"/>
  <c r="O144" i="55" s="1"/>
  <c r="A144" i="55"/>
  <c r="D143" i="55"/>
  <c r="J143" i="55" s="1"/>
  <c r="A143" i="55"/>
  <c r="D142" i="55"/>
  <c r="J142" i="55" s="1"/>
  <c r="A142" i="55"/>
  <c r="D141" i="55"/>
  <c r="J141" i="55" s="1"/>
  <c r="A141" i="55"/>
  <c r="D140" i="55"/>
  <c r="J140" i="55" s="1"/>
  <c r="A140" i="55"/>
  <c r="D139" i="55"/>
  <c r="O139" i="55" s="1"/>
  <c r="A139" i="55"/>
  <c r="D138" i="55"/>
  <c r="O138" i="55" s="1"/>
  <c r="A138" i="55"/>
  <c r="D137" i="55"/>
  <c r="O137" i="55" s="1"/>
  <c r="A137" i="55"/>
  <c r="D136" i="55"/>
  <c r="O136" i="55" s="1"/>
  <c r="A136" i="55"/>
  <c r="D135" i="55"/>
  <c r="J135" i="55" s="1"/>
  <c r="A135" i="55"/>
  <c r="D134" i="55"/>
  <c r="J134" i="55" s="1"/>
  <c r="A134" i="55"/>
  <c r="A133" i="55"/>
  <c r="D132" i="55"/>
  <c r="J132" i="55" s="1"/>
  <c r="A132" i="55"/>
  <c r="D131" i="55"/>
  <c r="J131" i="55" s="1"/>
  <c r="A131" i="55"/>
  <c r="D130" i="55"/>
  <c r="J130" i="55" s="1"/>
  <c r="A130" i="55"/>
  <c r="D129" i="55"/>
  <c r="J129" i="55" s="1"/>
  <c r="A129" i="55"/>
  <c r="D128" i="55"/>
  <c r="J128" i="55" s="1"/>
  <c r="A128" i="55"/>
  <c r="D127" i="55"/>
  <c r="J127" i="55" s="1"/>
  <c r="A127" i="55"/>
  <c r="D126" i="55"/>
  <c r="J126" i="55" s="1"/>
  <c r="A126" i="55"/>
  <c r="D125" i="55"/>
  <c r="J125" i="55" s="1"/>
  <c r="A125" i="55"/>
  <c r="D124" i="55"/>
  <c r="J124" i="55" s="1"/>
  <c r="A124" i="55"/>
  <c r="D123" i="55"/>
  <c r="J123" i="55" s="1"/>
  <c r="A123" i="55"/>
  <c r="D122" i="55"/>
  <c r="J122" i="55" s="1"/>
  <c r="A122" i="55"/>
  <c r="D121" i="55"/>
  <c r="J121" i="55" s="1"/>
  <c r="A121" i="55"/>
  <c r="D120" i="55"/>
  <c r="J120" i="55" s="1"/>
  <c r="A120" i="55"/>
  <c r="D119" i="55"/>
  <c r="J119" i="55" s="1"/>
  <c r="A119" i="55"/>
  <c r="D118" i="55"/>
  <c r="J118" i="55" s="1"/>
  <c r="A118" i="55"/>
  <c r="D117" i="55"/>
  <c r="J117" i="55" s="1"/>
  <c r="A117" i="55"/>
  <c r="D116" i="55"/>
  <c r="J116" i="55" s="1"/>
  <c r="A116" i="55"/>
  <c r="D115" i="55"/>
  <c r="J115" i="55" s="1"/>
  <c r="A115" i="55"/>
  <c r="D114" i="55"/>
  <c r="J114" i="55" s="1"/>
  <c r="A114" i="55"/>
  <c r="D113" i="55"/>
  <c r="J113" i="55" s="1"/>
  <c r="A113" i="55"/>
  <c r="A112" i="55"/>
  <c r="D111" i="55"/>
  <c r="J111" i="55" s="1"/>
  <c r="A111" i="55"/>
  <c r="D110" i="55"/>
  <c r="J110" i="55" s="1"/>
  <c r="A110" i="55"/>
  <c r="D109" i="55"/>
  <c r="J109" i="55" s="1"/>
  <c r="A109" i="55"/>
  <c r="D108" i="55"/>
  <c r="J108" i="55" s="1"/>
  <c r="A108" i="55"/>
  <c r="D107" i="55"/>
  <c r="J107" i="55" s="1"/>
  <c r="A107" i="55"/>
  <c r="D106" i="55"/>
  <c r="J106" i="55" s="1"/>
  <c r="A106" i="55"/>
  <c r="D105" i="55"/>
  <c r="J105" i="55" s="1"/>
  <c r="A105" i="55"/>
  <c r="D104" i="55"/>
  <c r="J104" i="55" s="1"/>
  <c r="A104" i="55"/>
  <c r="D103" i="55"/>
  <c r="J103" i="55" s="1"/>
  <c r="A103" i="55"/>
  <c r="D102" i="55"/>
  <c r="J102" i="55" s="1"/>
  <c r="A102" i="55"/>
  <c r="D101" i="55"/>
  <c r="J101" i="55" s="1"/>
  <c r="A101" i="55"/>
  <c r="D100" i="55"/>
  <c r="J100" i="55" s="1"/>
  <c r="A100" i="55"/>
  <c r="D99" i="55"/>
  <c r="J99" i="55" s="1"/>
  <c r="A99" i="55"/>
  <c r="D98" i="55"/>
  <c r="J98" i="55" s="1"/>
  <c r="A98" i="55"/>
  <c r="D97" i="55"/>
  <c r="J97" i="55" s="1"/>
  <c r="A97" i="55"/>
  <c r="D96" i="55"/>
  <c r="J96" i="55" s="1"/>
  <c r="A96" i="55"/>
  <c r="D95" i="55"/>
  <c r="J95" i="55" s="1"/>
  <c r="A95" i="55"/>
  <c r="D94" i="55"/>
  <c r="J94" i="55" s="1"/>
  <c r="A94" i="55"/>
  <c r="D93" i="55"/>
  <c r="J93" i="55" s="1"/>
  <c r="A93" i="55"/>
  <c r="D92" i="55"/>
  <c r="J92" i="55" s="1"/>
  <c r="A92" i="55"/>
  <c r="A91" i="55"/>
  <c r="D90" i="55"/>
  <c r="J90" i="55" s="1"/>
  <c r="A90" i="55"/>
  <c r="D89" i="55"/>
  <c r="J89" i="55" s="1"/>
  <c r="A89" i="55"/>
  <c r="D88" i="55"/>
  <c r="O88" i="55" s="1"/>
  <c r="A88" i="55"/>
  <c r="D87" i="55"/>
  <c r="J87" i="55" s="1"/>
  <c r="A87" i="55"/>
  <c r="D86" i="55"/>
  <c r="J86" i="55" s="1"/>
  <c r="A86" i="55"/>
  <c r="D85" i="55"/>
  <c r="J85" i="55" s="1"/>
  <c r="A85" i="55"/>
  <c r="D84" i="55"/>
  <c r="J84" i="55" s="1"/>
  <c r="A84" i="55"/>
  <c r="D83" i="55"/>
  <c r="J83" i="55" s="1"/>
  <c r="A83" i="55"/>
  <c r="D82" i="55"/>
  <c r="J82" i="55" s="1"/>
  <c r="A82" i="55"/>
  <c r="D81" i="55"/>
  <c r="O81" i="55" s="1"/>
  <c r="A81" i="55"/>
  <c r="D80" i="55"/>
  <c r="J80" i="55" s="1"/>
  <c r="A80" i="55"/>
  <c r="D79" i="55"/>
  <c r="O79" i="55" s="1"/>
  <c r="A79" i="55"/>
  <c r="D78" i="55"/>
  <c r="J78" i="55" s="1"/>
  <c r="A78" i="55"/>
  <c r="D77" i="55"/>
  <c r="J77" i="55" s="1"/>
  <c r="A77" i="55"/>
  <c r="D76" i="55"/>
  <c r="J76" i="55" s="1"/>
  <c r="A76" i="55"/>
  <c r="D75" i="55"/>
  <c r="O75" i="55" s="1"/>
  <c r="A75" i="55"/>
  <c r="D74" i="55"/>
  <c r="O74" i="55" s="1"/>
  <c r="A74" i="55"/>
  <c r="D73" i="55"/>
  <c r="J73" i="55" s="1"/>
  <c r="A73" i="55"/>
  <c r="D72" i="55"/>
  <c r="O72" i="55" s="1"/>
  <c r="A72" i="55"/>
  <c r="D71" i="55"/>
  <c r="J71" i="55" s="1"/>
  <c r="A71" i="55"/>
  <c r="O37" i="55"/>
  <c r="N37" i="55"/>
  <c r="M37" i="55"/>
  <c r="L37" i="55"/>
  <c r="K37" i="55"/>
  <c r="J37" i="55"/>
  <c r="O36" i="55"/>
  <c r="N36" i="55"/>
  <c r="M36" i="55"/>
  <c r="L36" i="55"/>
  <c r="K36" i="55"/>
  <c r="J36" i="55"/>
  <c r="O34" i="55"/>
  <c r="N34" i="55"/>
  <c r="M34" i="55"/>
  <c r="L34" i="55"/>
  <c r="K34" i="55"/>
  <c r="J34" i="55"/>
  <c r="O33" i="55"/>
  <c r="N33" i="55"/>
  <c r="M33" i="55"/>
  <c r="L33" i="55"/>
  <c r="K33" i="55"/>
  <c r="J33" i="55"/>
  <c r="O32" i="55"/>
  <c r="N32" i="55"/>
  <c r="M32" i="55"/>
  <c r="L32" i="55"/>
  <c r="K32" i="55"/>
  <c r="J32" i="55"/>
  <c r="O31" i="55"/>
  <c r="N31" i="55"/>
  <c r="M31" i="55"/>
  <c r="L31" i="55"/>
  <c r="K31" i="55"/>
  <c r="J31" i="55"/>
  <c r="R28" i="55"/>
  <c r="Q28" i="55"/>
  <c r="P28" i="55"/>
  <c r="O28" i="55"/>
  <c r="N28" i="55"/>
  <c r="M28" i="55"/>
  <c r="L28" i="55"/>
  <c r="K28" i="55"/>
  <c r="J28" i="55"/>
  <c r="O27" i="55"/>
  <c r="N27" i="55"/>
  <c r="M27" i="55"/>
  <c r="L27" i="55"/>
  <c r="K27" i="55"/>
  <c r="J27" i="55"/>
  <c r="D22" i="55"/>
  <c r="C22" i="55"/>
  <c r="B22" i="55"/>
  <c r="D20" i="55"/>
  <c r="C20" i="55"/>
  <c r="B20" i="55"/>
  <c r="D19" i="55"/>
  <c r="C19" i="55"/>
  <c r="B19" i="55"/>
  <c r="D15" i="55"/>
  <c r="C15" i="55"/>
  <c r="B15" i="55"/>
  <c r="D14" i="55"/>
  <c r="C14" i="55"/>
  <c r="B14" i="55"/>
  <c r="D13" i="55"/>
  <c r="C13" i="55"/>
  <c r="B13" i="55"/>
  <c r="D12" i="55"/>
  <c r="C12" i="55"/>
  <c r="B12" i="55"/>
  <c r="D11" i="55"/>
  <c r="C11" i="55"/>
  <c r="B11" i="55"/>
  <c r="D10" i="55"/>
  <c r="C10" i="55"/>
  <c r="B10" i="55"/>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D10" i="15"/>
  <c r="C10" i="15"/>
  <c r="B10" i="15"/>
  <c r="A10" i="15"/>
  <c r="F9" i="15"/>
  <c r="E9" i="15"/>
  <c r="B9" i="15"/>
  <c r="A9" i="15"/>
  <c r="J81" i="55" l="1"/>
  <c r="J233" i="55"/>
  <c r="J239" i="55"/>
  <c r="N36" i="58"/>
  <c r="K36" i="58"/>
  <c r="B202" i="58"/>
  <c r="C236" i="58"/>
  <c r="C177" i="58"/>
  <c r="C189" i="58" s="1"/>
  <c r="C200" i="58" s="1"/>
  <c r="C211" i="58" s="1"/>
  <c r="C223" i="58" s="1"/>
  <c r="K8" i="58"/>
  <c r="L67" i="58"/>
  <c r="L104" i="58" s="1"/>
  <c r="L22" i="58"/>
  <c r="L7" i="58"/>
  <c r="L6" i="58"/>
  <c r="L12" i="58" a="1"/>
  <c r="L12" i="58" s="1"/>
  <c r="L11" i="58" s="1"/>
  <c r="L5" i="58"/>
  <c r="M4" i="58"/>
  <c r="B198" i="58"/>
  <c r="C239" i="58"/>
  <c r="C180" i="58"/>
  <c r="C192" i="58" s="1"/>
  <c r="C203" i="58" s="1"/>
  <c r="C214" i="58" s="1"/>
  <c r="C226" i="58" s="1"/>
  <c r="B211" i="58"/>
  <c r="C240" i="58"/>
  <c r="C181" i="58"/>
  <c r="C193" i="58" s="1"/>
  <c r="C204" i="58" s="1"/>
  <c r="C215" i="58" s="1"/>
  <c r="C227" i="58" s="1"/>
  <c r="M34" i="58"/>
  <c r="M35" i="58" s="1"/>
  <c r="B215" i="58"/>
  <c r="B214" i="58"/>
  <c r="B197" i="58"/>
  <c r="L31" i="58"/>
  <c r="L34" i="58" s="1"/>
  <c r="L35" i="58" s="1"/>
  <c r="B205" i="58"/>
  <c r="J96" i="58"/>
  <c r="J93" i="58"/>
  <c r="J86" i="58"/>
  <c r="J191" i="58" s="1"/>
  <c r="J100" i="58"/>
  <c r="J83" i="58"/>
  <c r="J188" i="58" s="1"/>
  <c r="J77" i="58"/>
  <c r="J94" i="58"/>
  <c r="J87" i="58"/>
  <c r="J192" i="58" s="1"/>
  <c r="J84" i="58"/>
  <c r="J189" i="58" s="1"/>
  <c r="J75" i="58"/>
  <c r="J71" i="58"/>
  <c r="J97" i="58"/>
  <c r="J85" i="58"/>
  <c r="J190" i="58" s="1"/>
  <c r="J72" i="58"/>
  <c r="J88" i="58"/>
  <c r="J193" i="58" s="1"/>
  <c r="J82" i="58"/>
  <c r="J187" i="58" s="1"/>
  <c r="J89" i="58"/>
  <c r="J194" i="58" s="1"/>
  <c r="J92" i="58"/>
  <c r="J74" i="58"/>
  <c r="J78" i="58"/>
  <c r="J76" i="58"/>
  <c r="J81" i="58"/>
  <c r="J186" i="58" s="1"/>
  <c r="J73" i="58"/>
  <c r="J70" i="58"/>
  <c r="J95" i="58"/>
  <c r="B199" i="58"/>
  <c r="B201" i="58"/>
  <c r="J34" i="58"/>
  <c r="J35" i="58" s="1"/>
  <c r="C241" i="58"/>
  <c r="C182" i="58"/>
  <c r="C194" i="58" s="1"/>
  <c r="C205" i="58" s="1"/>
  <c r="C216" i="58" s="1"/>
  <c r="C228" i="58" s="1"/>
  <c r="C234" i="58"/>
  <c r="C175" i="58"/>
  <c r="C187" i="58" s="1"/>
  <c r="C198" i="58" s="1"/>
  <c r="C209" i="58" s="1"/>
  <c r="C221" i="58" s="1"/>
  <c r="O73" i="55"/>
  <c r="O135" i="55"/>
  <c r="O140" i="55"/>
  <c r="J138" i="55"/>
  <c r="O159" i="55"/>
  <c r="J144" i="55"/>
  <c r="O165" i="55"/>
  <c r="O197" i="55"/>
  <c r="J195" i="55"/>
  <c r="O203" i="55"/>
  <c r="J72" i="55"/>
  <c r="J196" i="55"/>
  <c r="J234" i="55"/>
  <c r="J74" i="55"/>
  <c r="J160" i="55"/>
  <c r="J198" i="55"/>
  <c r="J79" i="55"/>
  <c r="O240" i="55"/>
  <c r="J236" i="55"/>
  <c r="O76" i="55"/>
  <c r="O162" i="55"/>
  <c r="J136" i="55"/>
  <c r="J161" i="55"/>
  <c r="J199" i="55"/>
  <c r="J237" i="55"/>
  <c r="O77" i="55"/>
  <c r="O141" i="55"/>
  <c r="O163" i="55"/>
  <c r="J238" i="55"/>
  <c r="O78" i="55"/>
  <c r="O142" i="55"/>
  <c r="J75" i="55"/>
  <c r="J201" i="55"/>
  <c r="O193" i="55"/>
  <c r="O235" i="55"/>
  <c r="J88" i="55"/>
  <c r="J139" i="55"/>
  <c r="J151" i="55"/>
  <c r="O194" i="55"/>
  <c r="J137" i="55"/>
  <c r="J200" i="55"/>
  <c r="J241" i="55"/>
  <c r="J253" i="55"/>
  <c r="O155" i="55"/>
  <c r="O134" i="55"/>
  <c r="O156" i="55"/>
  <c r="J243" i="55"/>
  <c r="O71" i="55"/>
  <c r="O157" i="55"/>
  <c r="O158" i="55"/>
  <c r="J170" i="58" l="1"/>
  <c r="J169" i="58"/>
  <c r="J167" i="58"/>
  <c r="J163" i="58"/>
  <c r="J166" i="58"/>
  <c r="J168" i="58"/>
  <c r="J165" i="58"/>
  <c r="J164" i="58"/>
  <c r="J162" i="58"/>
  <c r="J36" i="58"/>
  <c r="J49" i="58" s="1"/>
  <c r="M36" i="58"/>
  <c r="N41" i="58" s="1"/>
  <c r="L36" i="58"/>
  <c r="L41" i="58" s="1"/>
  <c r="J153" i="58"/>
  <c r="E98" i="58"/>
  <c r="J98" i="58" s="1"/>
  <c r="J157" i="58" s="1"/>
  <c r="E99" i="58"/>
  <c r="J99" i="58" s="1"/>
  <c r="J158" i="58" s="1"/>
  <c r="J151" i="58"/>
  <c r="B223" i="58"/>
  <c r="J211" i="58"/>
  <c r="J159" i="58"/>
  <c r="B216" i="58"/>
  <c r="J205" i="58"/>
  <c r="J201" i="58"/>
  <c r="B212" i="58"/>
  <c r="J154" i="58"/>
  <c r="J152" i="58"/>
  <c r="J215" i="58"/>
  <c r="B227" i="58"/>
  <c r="J200" i="58"/>
  <c r="B226" i="58"/>
  <c r="J214" i="58"/>
  <c r="J156" i="58"/>
  <c r="J155" i="58"/>
  <c r="J202" i="58"/>
  <c r="B213" i="58"/>
  <c r="B209" i="58"/>
  <c r="J198" i="58"/>
  <c r="J199" i="58"/>
  <c r="B210" i="58"/>
  <c r="J197" i="58"/>
  <c r="B208" i="58"/>
  <c r="J203" i="58"/>
  <c r="J204" i="58"/>
  <c r="N4" i="58"/>
  <c r="M67" i="58"/>
  <c r="M104" i="58" s="1"/>
  <c r="M6" i="58"/>
  <c r="M22" i="58"/>
  <c r="M7" i="58"/>
  <c r="M12" i="58" a="1"/>
  <c r="M12" i="58" s="1"/>
  <c r="M11" i="58" s="1"/>
  <c r="M5" i="58"/>
  <c r="K88" i="58"/>
  <c r="K87" i="58"/>
  <c r="K76" i="58"/>
  <c r="K168" i="58" s="1"/>
  <c r="K77" i="58"/>
  <c r="K169" i="58" s="1"/>
  <c r="L8" i="58"/>
  <c r="J226" i="58" l="1"/>
  <c r="J227" i="58"/>
  <c r="J223" i="58"/>
  <c r="J53" i="58"/>
  <c r="J177" i="58"/>
  <c r="J236" i="58" s="1"/>
  <c r="J251" i="58" s="1"/>
  <c r="G113" i="47" s="1"/>
  <c r="J174" i="58"/>
  <c r="J233" i="58" s="1"/>
  <c r="J248" i="58" s="1"/>
  <c r="G109" i="47" s="1"/>
  <c r="J179" i="58"/>
  <c r="J238" i="58" s="1"/>
  <c r="J253" i="58" s="1"/>
  <c r="G117" i="47" s="1"/>
  <c r="J175" i="58"/>
  <c r="J234" i="58" s="1"/>
  <c r="J249" i="58" s="1"/>
  <c r="G111" i="47" s="1"/>
  <c r="J181" i="58"/>
  <c r="J240" i="58" s="1"/>
  <c r="J255" i="58" s="1"/>
  <c r="G116" i="47" s="1"/>
  <c r="J180" i="58"/>
  <c r="J239" i="58" s="1"/>
  <c r="J254" i="58" s="1"/>
  <c r="G110" i="47" s="1"/>
  <c r="J176" i="58"/>
  <c r="J235" i="58" s="1"/>
  <c r="J250" i="58" s="1"/>
  <c r="G112" i="47" s="1"/>
  <c r="J182" i="58"/>
  <c r="J241" i="58" s="1"/>
  <c r="J256" i="58" s="1"/>
  <c r="G114" i="47" s="1"/>
  <c r="J178" i="58"/>
  <c r="J237" i="58" s="1"/>
  <c r="J252" i="58" s="1"/>
  <c r="G115" i="47" s="1"/>
  <c r="J210" i="58"/>
  <c r="J222" i="58" s="1"/>
  <c r="B222" i="58"/>
  <c r="L46" i="58"/>
  <c r="L43" i="58"/>
  <c r="L45" i="58"/>
  <c r="L44" i="58"/>
  <c r="K41" i="58"/>
  <c r="M41" i="58"/>
  <c r="B228" i="58"/>
  <c r="J216" i="58"/>
  <c r="J228" i="58" s="1"/>
  <c r="B224" i="58"/>
  <c r="J212" i="58"/>
  <c r="J224" i="58" s="1"/>
  <c r="L88" i="58"/>
  <c r="M88" i="58" s="1"/>
  <c r="N88" i="58" s="1"/>
  <c r="L87" i="58"/>
  <c r="M87" i="58" s="1"/>
  <c r="N87" i="58" s="1"/>
  <c r="L76" i="58"/>
  <c r="L77" i="58"/>
  <c r="N67" i="58"/>
  <c r="N104" i="58" s="1"/>
  <c r="N22" i="58"/>
  <c r="N12" i="58" a="1"/>
  <c r="N12" i="58" s="1"/>
  <c r="N11" i="58" s="1"/>
  <c r="N43" i="58" s="1"/>
  <c r="N6" i="58"/>
  <c r="N7" i="58"/>
  <c r="N5" i="58"/>
  <c r="O4" i="58"/>
  <c r="B221" i="58"/>
  <c r="J209" i="58"/>
  <c r="J221" i="58" s="1"/>
  <c r="J213" i="58"/>
  <c r="J225" i="58" s="1"/>
  <c r="B225" i="58"/>
  <c r="B220" i="58"/>
  <c r="J208" i="58"/>
  <c r="J220" i="58" s="1"/>
  <c r="D4" i="56"/>
  <c r="J245" i="58" l="1"/>
  <c r="N44" i="58"/>
  <c r="N45" i="58"/>
  <c r="M77" i="58"/>
  <c r="L169" i="58"/>
  <c r="J258" i="58"/>
  <c r="G118" i="47" s="1"/>
  <c r="J264" i="58"/>
  <c r="G119" i="47" s="1"/>
  <c r="J263" i="58"/>
  <c r="G126" i="47" s="1"/>
  <c r="J266" i="58"/>
  <c r="G123" i="47" s="1"/>
  <c r="J260" i="58"/>
  <c r="G121" i="47" s="1"/>
  <c r="J259" i="58"/>
  <c r="G120" i="47" s="1"/>
  <c r="J262" i="58"/>
  <c r="G124" i="47" s="1"/>
  <c r="J261" i="58"/>
  <c r="G122" i="47" s="1"/>
  <c r="J265" i="58"/>
  <c r="G125" i="47" s="1"/>
  <c r="O67" i="58"/>
  <c r="O104" i="58" s="1"/>
  <c r="O6" i="58"/>
  <c r="O12" i="58" a="1"/>
  <c r="O12" i="58" s="1"/>
  <c r="O11" i="58" s="1"/>
  <c r="O22" i="58"/>
  <c r="O7" i="58"/>
  <c r="O5" i="58"/>
  <c r="P4" i="58"/>
  <c r="M76" i="58"/>
  <c r="L168" i="58"/>
  <c r="N46" i="58"/>
  <c r="M45" i="58"/>
  <c r="M43" i="58"/>
  <c r="M44" i="58"/>
  <c r="M46" i="58"/>
  <c r="K44" i="58"/>
  <c r="K50" i="58" s="1"/>
  <c r="K45" i="58"/>
  <c r="K51" i="58" s="1"/>
  <c r="K43" i="58"/>
  <c r="K49" i="58" s="1"/>
  <c r="K46" i="58"/>
  <c r="K52" i="58" s="1"/>
  <c r="AC27" i="56"/>
  <c r="AB27" i="56"/>
  <c r="K53" i="58" l="1"/>
  <c r="L49" i="58"/>
  <c r="K181" i="58"/>
  <c r="K180" i="58"/>
  <c r="N77" i="58"/>
  <c r="N169" i="58" s="1"/>
  <c r="M169" i="58"/>
  <c r="O76" i="58"/>
  <c r="O87" i="58"/>
  <c r="O88" i="58"/>
  <c r="O77" i="58"/>
  <c r="L51" i="58"/>
  <c r="K204" i="58"/>
  <c r="K203" i="58"/>
  <c r="N76" i="58"/>
  <c r="N168" i="58" s="1"/>
  <c r="M168" i="58"/>
  <c r="P12" i="58" a="1"/>
  <c r="P12" i="58" s="1"/>
  <c r="P11" i="58" s="1"/>
  <c r="P22" i="58"/>
  <c r="P25" i="58" s="1"/>
  <c r="P6" i="58"/>
  <c r="P7" i="58"/>
  <c r="P67" i="58"/>
  <c r="P104" i="58" s="1"/>
  <c r="P5" i="58"/>
  <c r="Q4" i="58"/>
  <c r="L52" i="58"/>
  <c r="K214" i="58"/>
  <c r="K215" i="58"/>
  <c r="L50" i="58"/>
  <c r="K192" i="58"/>
  <c r="K193" i="58"/>
  <c r="AR161" i="57"/>
  <c r="AR162" i="57" s="1"/>
  <c r="AM161" i="57"/>
  <c r="P139" i="57"/>
  <c r="Y139" i="57" s="1"/>
  <c r="Q139" i="57" l="1"/>
  <c r="Z139" i="57" s="1"/>
  <c r="AN161" i="57"/>
  <c r="AN162" i="57" s="1"/>
  <c r="AM162" i="57"/>
  <c r="B26" i="57"/>
  <c r="D141" i="57"/>
  <c r="K226" i="58"/>
  <c r="K264" i="58" s="1"/>
  <c r="H119" i="47" s="1"/>
  <c r="K227" i="58"/>
  <c r="K265" i="58" s="1"/>
  <c r="H125" i="47" s="1"/>
  <c r="M50" i="58"/>
  <c r="L192" i="58"/>
  <c r="L193" i="58"/>
  <c r="M49" i="58"/>
  <c r="L53" i="58"/>
  <c r="L181" i="58"/>
  <c r="L180" i="58"/>
  <c r="Q67" i="58"/>
  <c r="Q104" i="58" s="1"/>
  <c r="Q22" i="58"/>
  <c r="Q7" i="58"/>
  <c r="Q6" i="58"/>
  <c r="Q5" i="58"/>
  <c r="Q8" i="58" s="1"/>
  <c r="Q12" i="58" a="1"/>
  <c r="Q12" i="58" s="1"/>
  <c r="Q11" i="58" s="1"/>
  <c r="R4" i="58"/>
  <c r="P8" i="58"/>
  <c r="M52" i="58"/>
  <c r="L214" i="58"/>
  <c r="L215" i="58"/>
  <c r="M51" i="58"/>
  <c r="L204" i="58"/>
  <c r="L203" i="58"/>
  <c r="Q25" i="58"/>
  <c r="R139" i="57" l="1"/>
  <c r="AA139" i="57" s="1"/>
  <c r="D178" i="57"/>
  <c r="D34" i="57"/>
  <c r="B43" i="57"/>
  <c r="B42" i="57"/>
  <c r="N52" i="58"/>
  <c r="M215" i="58"/>
  <c r="M214" i="58"/>
  <c r="L226" i="58"/>
  <c r="L264" i="58" s="1"/>
  <c r="I119" i="47" s="1"/>
  <c r="N49" i="58"/>
  <c r="M53" i="58"/>
  <c r="M181" i="58"/>
  <c r="M180" i="58"/>
  <c r="N51" i="58"/>
  <c r="M203" i="58"/>
  <c r="M204" i="58"/>
  <c r="N50" i="58"/>
  <c r="M192" i="58"/>
  <c r="M193" i="58"/>
  <c r="R5" i="58"/>
  <c r="R7" i="58"/>
  <c r="R22" i="58"/>
  <c r="R25" i="58" s="1"/>
  <c r="R6" i="58"/>
  <c r="R12" i="58" a="1"/>
  <c r="R12" i="58" s="1"/>
  <c r="R11" i="58" s="1"/>
  <c r="R67" i="58"/>
  <c r="R104" i="58" s="1"/>
  <c r="S4" i="58"/>
  <c r="L227" i="58"/>
  <c r="L265" i="58" s="1"/>
  <c r="I125" i="47" s="1"/>
  <c r="P88" i="58"/>
  <c r="Q88" i="58" s="1"/>
  <c r="P77" i="58"/>
  <c r="Q77" i="58" s="1"/>
  <c r="P87" i="58"/>
  <c r="Q87" i="58" s="1"/>
  <c r="P76" i="58"/>
  <c r="Q76" i="58" s="1"/>
  <c r="S139" i="57" l="1"/>
  <c r="AB139" i="57" s="1"/>
  <c r="T139" i="57"/>
  <c r="U139" i="57" s="1"/>
  <c r="V139" i="57" s="1"/>
  <c r="M227" i="58"/>
  <c r="M265" i="58" s="1"/>
  <c r="J125" i="47" s="1"/>
  <c r="M226" i="58"/>
  <c r="M264" i="58" s="1"/>
  <c r="J119" i="47" s="1"/>
  <c r="R8" i="58"/>
  <c r="N215" i="58"/>
  <c r="N214" i="58"/>
  <c r="S67" i="58"/>
  <c r="S104" i="58" s="1"/>
  <c r="S22" i="58"/>
  <c r="S25" i="58" s="1"/>
  <c r="S12" i="58" a="1"/>
  <c r="S12" i="58" s="1"/>
  <c r="S11" i="58" s="1"/>
  <c r="S7" i="58"/>
  <c r="S5" i="58"/>
  <c r="T4" i="58"/>
  <c r="S6" i="58"/>
  <c r="N203" i="58"/>
  <c r="N204" i="58"/>
  <c r="N192" i="58"/>
  <c r="N193" i="58"/>
  <c r="N53" i="58"/>
  <c r="N180" i="58"/>
  <c r="N181" i="58"/>
  <c r="E44" i="29"/>
  <c r="N226" i="58" l="1"/>
  <c r="N264" i="58" s="1"/>
  <c r="K119" i="47" s="1"/>
  <c r="R88" i="58"/>
  <c r="R77" i="58"/>
  <c r="R87" i="58"/>
  <c r="R76" i="58"/>
  <c r="T22" i="58"/>
  <c r="T25" i="58" s="1"/>
  <c r="T5" i="58"/>
  <c r="T12" i="58" a="1"/>
  <c r="T12" i="58" s="1"/>
  <c r="T11" i="58" s="1"/>
  <c r="U4" i="58"/>
  <c r="T7" i="58"/>
  <c r="T67" i="58"/>
  <c r="T104" i="58" s="1"/>
  <c r="T6" i="58"/>
  <c r="N227" i="58"/>
  <c r="N265" i="58" s="1"/>
  <c r="K125" i="47" s="1"/>
  <c r="S8" i="58"/>
  <c r="M197" i="57"/>
  <c r="AP196" i="57"/>
  <c r="AQ196" i="57"/>
  <c r="S77" i="58" l="1"/>
  <c r="S87" i="58"/>
  <c r="S76" i="58"/>
  <c r="S88" i="58"/>
  <c r="T8" i="58"/>
  <c r="U67" i="58"/>
  <c r="U104" i="58" s="1"/>
  <c r="U12" i="58" a="1"/>
  <c r="U12" i="58" s="1"/>
  <c r="U11" i="58" s="1"/>
  <c r="U22" i="58"/>
  <c r="U25" i="58" s="1"/>
  <c r="U5" i="58"/>
  <c r="U7" i="58"/>
  <c r="U6" i="58"/>
  <c r="V4" i="58"/>
  <c r="U8" i="58" l="1"/>
  <c r="V7" i="58"/>
  <c r="V12" i="58" a="1"/>
  <c r="V12" i="58" s="1"/>
  <c r="V11" i="58" s="1"/>
  <c r="W4" i="58"/>
  <c r="V22" i="58"/>
  <c r="V25" i="58" s="1"/>
  <c r="V6" i="58"/>
  <c r="V67" i="58"/>
  <c r="V104" i="58" s="1"/>
  <c r="V5" i="58"/>
  <c r="V8" i="58" s="1"/>
  <c r="T87" i="58"/>
  <c r="T88" i="58"/>
  <c r="T77" i="58"/>
  <c r="T76" i="58"/>
  <c r="C30" i="44"/>
  <c r="W67" i="58" l="1"/>
  <c r="W104" i="58" s="1"/>
  <c r="W5" i="58"/>
  <c r="W12" i="58" a="1"/>
  <c r="W12" i="58" s="1"/>
  <c r="W11" i="58" s="1"/>
  <c r="W7" i="58"/>
  <c r="X4" i="58"/>
  <c r="W22" i="58"/>
  <c r="W25" i="58" s="1"/>
  <c r="W6" i="58"/>
  <c r="U87" i="58"/>
  <c r="V87" i="58" s="1"/>
  <c r="U88" i="58"/>
  <c r="V88" i="58" s="1"/>
  <c r="U77" i="58"/>
  <c r="V77" i="58" s="1"/>
  <c r="U76" i="58"/>
  <c r="V76" i="58" s="1"/>
  <c r="AG35" i="44" l="1"/>
  <c r="W8" i="58"/>
  <c r="X67" i="58"/>
  <c r="X104" i="58" s="1"/>
  <c r="X7" i="58"/>
  <c r="X6" i="58"/>
  <c r="X22" i="58"/>
  <c r="X25" i="58" s="1"/>
  <c r="X12" i="58" a="1"/>
  <c r="X12" i="58" s="1"/>
  <c r="X11" i="58" s="1"/>
  <c r="X5" i="58"/>
  <c r="X8" i="58" s="1"/>
  <c r="Y4" i="58"/>
  <c r="AQ10" i="58"/>
  <c r="AV10" i="58"/>
  <c r="J10" i="58"/>
  <c r="W88" i="58" l="1"/>
  <c r="X88" i="58" s="1"/>
  <c r="W87" i="58"/>
  <c r="X87" i="58" s="1"/>
  <c r="W76" i="58"/>
  <c r="X76" i="58" s="1"/>
  <c r="W77" i="58"/>
  <c r="X77" i="58" s="1"/>
  <c r="Y12" i="58" a="1"/>
  <c r="Y12" i="58" s="1"/>
  <c r="Y11" i="58" s="1"/>
  <c r="Y67" i="58"/>
  <c r="Y104" i="58" s="1"/>
  <c r="Z4" i="58"/>
  <c r="Y22" i="58"/>
  <c r="Y25" i="58" s="1"/>
  <c r="Y6" i="58"/>
  <c r="Y5" i="58"/>
  <c r="Y7" i="58"/>
  <c r="AG25" i="44"/>
  <c r="AF25" i="44"/>
  <c r="C25" i="44"/>
  <c r="E11" i="57"/>
  <c r="D4" i="57"/>
  <c r="F134" i="57" s="1"/>
  <c r="F3" i="56"/>
  <c r="D1" i="56"/>
  <c r="I265" i="57"/>
  <c r="G265" i="57"/>
  <c r="I264" i="57"/>
  <c r="G264" i="57"/>
  <c r="I263" i="57"/>
  <c r="G263" i="57"/>
  <c r="J259" i="57"/>
  <c r="B258" i="57"/>
  <c r="B257" i="57"/>
  <c r="B256" i="57"/>
  <c r="E251" i="57"/>
  <c r="D251" i="57"/>
  <c r="C251" i="57"/>
  <c r="C250" i="57"/>
  <c r="K249" i="57"/>
  <c r="J249" i="57"/>
  <c r="I249" i="57"/>
  <c r="H249" i="57"/>
  <c r="G249" i="57"/>
  <c r="C249" i="57"/>
  <c r="I240" i="57"/>
  <c r="I239" i="57"/>
  <c r="I238" i="57"/>
  <c r="H238" i="57"/>
  <c r="G238" i="57"/>
  <c r="E238" i="57"/>
  <c r="C238" i="57"/>
  <c r="B238" i="57"/>
  <c r="I237" i="57"/>
  <c r="H237" i="57"/>
  <c r="G237" i="57"/>
  <c r="E237" i="57"/>
  <c r="C237" i="57"/>
  <c r="B237" i="57"/>
  <c r="I236" i="57"/>
  <c r="H236" i="57"/>
  <c r="G236" i="57"/>
  <c r="E236" i="57"/>
  <c r="C236" i="57"/>
  <c r="B236" i="57"/>
  <c r="I235" i="57"/>
  <c r="H235" i="57"/>
  <c r="G235" i="57"/>
  <c r="E235" i="57"/>
  <c r="C235" i="57"/>
  <c r="B235" i="57"/>
  <c r="I234" i="57"/>
  <c r="H234" i="57"/>
  <c r="G234" i="57"/>
  <c r="E234" i="57"/>
  <c r="C234" i="57"/>
  <c r="B234" i="57"/>
  <c r="I233" i="57"/>
  <c r="H233" i="57"/>
  <c r="G233" i="57"/>
  <c r="E233" i="57"/>
  <c r="C233" i="57"/>
  <c r="B233" i="57"/>
  <c r="K232" i="57"/>
  <c r="L232" i="57" s="1"/>
  <c r="K229" i="57"/>
  <c r="AY228" i="57"/>
  <c r="AX228" i="57"/>
  <c r="E228" i="57"/>
  <c r="E229" i="57" s="1"/>
  <c r="E250" i="57" s="1"/>
  <c r="I226" i="57"/>
  <c r="H226" i="57"/>
  <c r="G226" i="57"/>
  <c r="F226" i="57"/>
  <c r="E226" i="57"/>
  <c r="C226" i="57"/>
  <c r="B226" i="57"/>
  <c r="I225" i="57"/>
  <c r="H225" i="57"/>
  <c r="G225" i="57"/>
  <c r="F225" i="57"/>
  <c r="E225" i="57"/>
  <c r="C225" i="57"/>
  <c r="B225" i="57"/>
  <c r="I224" i="57"/>
  <c r="H224" i="57"/>
  <c r="G224" i="57"/>
  <c r="F224" i="57"/>
  <c r="E224" i="57"/>
  <c r="C224" i="57"/>
  <c r="B224" i="57"/>
  <c r="I223" i="57"/>
  <c r="H223" i="57"/>
  <c r="G223" i="57"/>
  <c r="F223" i="57"/>
  <c r="E223" i="57"/>
  <c r="C223" i="57"/>
  <c r="B223" i="57"/>
  <c r="I222" i="57"/>
  <c r="H222" i="57"/>
  <c r="G222" i="57"/>
  <c r="F222" i="57"/>
  <c r="E222" i="57"/>
  <c r="C222" i="57"/>
  <c r="B222" i="57"/>
  <c r="I221" i="57"/>
  <c r="H221" i="57"/>
  <c r="G221" i="57"/>
  <c r="F221" i="57"/>
  <c r="E221" i="57"/>
  <c r="C221" i="57"/>
  <c r="B221" i="57"/>
  <c r="I220" i="57"/>
  <c r="H220" i="57"/>
  <c r="G220" i="57"/>
  <c r="F220" i="57"/>
  <c r="E220" i="57"/>
  <c r="C220" i="57"/>
  <c r="B220" i="57"/>
  <c r="I219" i="57"/>
  <c r="H219" i="57"/>
  <c r="G219" i="57"/>
  <c r="F219" i="57"/>
  <c r="E219" i="57"/>
  <c r="C219" i="57"/>
  <c r="B219" i="57"/>
  <c r="BE216" i="57"/>
  <c r="J216" i="57"/>
  <c r="AP215" i="57"/>
  <c r="AO215" i="57"/>
  <c r="AN215" i="57"/>
  <c r="AM215" i="57"/>
  <c r="D210" i="57"/>
  <c r="K214" i="57"/>
  <c r="L214" i="57" s="1"/>
  <c r="L207" i="57"/>
  <c r="K207" i="57"/>
  <c r="J207" i="57"/>
  <c r="H207" i="57"/>
  <c r="E207" i="57"/>
  <c r="C207" i="57"/>
  <c r="B207" i="57"/>
  <c r="L206" i="57"/>
  <c r="K206" i="57"/>
  <c r="J206" i="57"/>
  <c r="H206" i="57"/>
  <c r="E206" i="57"/>
  <c r="C206" i="57"/>
  <c r="B206" i="57"/>
  <c r="L205" i="57"/>
  <c r="K205" i="57"/>
  <c r="J205" i="57"/>
  <c r="H205" i="57"/>
  <c r="E205" i="57"/>
  <c r="C205" i="57"/>
  <c r="B205" i="57"/>
  <c r="L204" i="57"/>
  <c r="K204" i="57"/>
  <c r="J204" i="57"/>
  <c r="H204" i="57"/>
  <c r="E204" i="57"/>
  <c r="C204" i="57"/>
  <c r="B204" i="57"/>
  <c r="L203" i="57"/>
  <c r="K203" i="57"/>
  <c r="J203" i="57"/>
  <c r="H203" i="57"/>
  <c r="E203" i="57"/>
  <c r="C203" i="57"/>
  <c r="B203" i="57"/>
  <c r="L202" i="57"/>
  <c r="K202" i="57"/>
  <c r="J202" i="57"/>
  <c r="H202" i="57"/>
  <c r="E202" i="57"/>
  <c r="C202" i="57"/>
  <c r="B202" i="57"/>
  <c r="L201" i="57"/>
  <c r="K201" i="57"/>
  <c r="J201" i="57"/>
  <c r="H201" i="57"/>
  <c r="E201" i="57"/>
  <c r="C201" i="57"/>
  <c r="B201" i="57"/>
  <c r="L200" i="57"/>
  <c r="K200" i="57"/>
  <c r="J200" i="57"/>
  <c r="H200" i="57"/>
  <c r="E200" i="57"/>
  <c r="C200" i="57"/>
  <c r="B200" i="57"/>
  <c r="BH197" i="57"/>
  <c r="D197" i="57"/>
  <c r="AS196" i="57"/>
  <c r="AR196" i="57"/>
  <c r="N195" i="57"/>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AN195" i="57" s="1"/>
  <c r="AO195" i="57" s="1"/>
  <c r="C193" i="57"/>
  <c r="B193" i="57"/>
  <c r="D226" i="57" s="1"/>
  <c r="J226" i="57" s="1"/>
  <c r="C192" i="57"/>
  <c r="B192" i="57"/>
  <c r="D225" i="57" s="1"/>
  <c r="J225" i="57" s="1"/>
  <c r="C191" i="57"/>
  <c r="B191" i="57"/>
  <c r="D224" i="57" s="1"/>
  <c r="J224" i="57" s="1"/>
  <c r="C190" i="57"/>
  <c r="B190" i="57"/>
  <c r="D223" i="57" s="1"/>
  <c r="J223" i="57" s="1"/>
  <c r="E189" i="57"/>
  <c r="W189" i="57" s="1"/>
  <c r="C189" i="57"/>
  <c r="B189" i="57"/>
  <c r="D222" i="57" s="1"/>
  <c r="J222" i="57" s="1"/>
  <c r="C188" i="57"/>
  <c r="B188" i="57"/>
  <c r="D221" i="57" s="1"/>
  <c r="C187" i="57"/>
  <c r="B187" i="57"/>
  <c r="D220" i="57" s="1"/>
  <c r="C186" i="57"/>
  <c r="B186" i="57"/>
  <c r="D219" i="57" s="1"/>
  <c r="G185" i="57"/>
  <c r="F185" i="57"/>
  <c r="C179" i="57"/>
  <c r="B179" i="57"/>
  <c r="D207" i="57" s="1"/>
  <c r="M207" i="57" s="1"/>
  <c r="C178" i="57"/>
  <c r="B178" i="57"/>
  <c r="D206" i="57" s="1"/>
  <c r="M206" i="57" s="1"/>
  <c r="C177" i="57"/>
  <c r="B177" i="57"/>
  <c r="D205" i="57" s="1"/>
  <c r="M205" i="57" s="1"/>
  <c r="C176" i="57"/>
  <c r="B176" i="57"/>
  <c r="D204" i="57" s="1"/>
  <c r="M204" i="57" s="1"/>
  <c r="C175" i="57"/>
  <c r="B175" i="57"/>
  <c r="D203" i="57" s="1"/>
  <c r="M203" i="57" s="1"/>
  <c r="C174" i="57"/>
  <c r="B174" i="57"/>
  <c r="D202" i="57" s="1"/>
  <c r="C173" i="57"/>
  <c r="B173" i="57"/>
  <c r="D201" i="57" s="1"/>
  <c r="C172" i="57"/>
  <c r="N172" i="57" s="1"/>
  <c r="B172" i="57"/>
  <c r="D200" i="57" s="1"/>
  <c r="G171" i="57"/>
  <c r="F171" i="57"/>
  <c r="N168" i="57"/>
  <c r="N167" i="57"/>
  <c r="D167" i="57"/>
  <c r="N166" i="57"/>
  <c r="N165" i="57"/>
  <c r="N164" i="57"/>
  <c r="N163" i="57"/>
  <c r="N162" i="57"/>
  <c r="N161" i="57"/>
  <c r="F160" i="57"/>
  <c r="N156" i="57"/>
  <c r="N155" i="57"/>
  <c r="D155" i="57"/>
  <c r="N154" i="57"/>
  <c r="N153" i="57"/>
  <c r="N152" i="57"/>
  <c r="N151" i="57"/>
  <c r="N150" i="57"/>
  <c r="N149" i="57"/>
  <c r="F148" i="57"/>
  <c r="X147" i="57"/>
  <c r="O147" i="57"/>
  <c r="E143" i="57"/>
  <c r="O143" i="57" s="1"/>
  <c r="E142" i="57"/>
  <c r="E139" i="57"/>
  <c r="O139" i="57" s="1"/>
  <c r="X139" i="57" s="1"/>
  <c r="E138" i="57"/>
  <c r="O138" i="57" s="1"/>
  <c r="X138" i="57" s="1"/>
  <c r="E137" i="57"/>
  <c r="O137" i="57" s="1"/>
  <c r="X137" i="57" s="1"/>
  <c r="E134" i="57"/>
  <c r="AE133" i="57"/>
  <c r="E133" i="57"/>
  <c r="O133" i="57" s="1"/>
  <c r="E132" i="57"/>
  <c r="O132" i="57" s="1"/>
  <c r="X132" i="57" s="1"/>
  <c r="C121" i="57"/>
  <c r="C125" i="57" s="1"/>
  <c r="C129" i="57" s="1"/>
  <c r="C120" i="57"/>
  <c r="C124" i="57" s="1"/>
  <c r="C128" i="57" s="1"/>
  <c r="C119" i="57"/>
  <c r="C123" i="57" s="1"/>
  <c r="C127" i="57" s="1"/>
  <c r="C110" i="57"/>
  <c r="E104" i="57"/>
  <c r="AE103" i="57"/>
  <c r="AE104" i="57" s="1"/>
  <c r="AD103" i="57"/>
  <c r="AD104" i="57" s="1"/>
  <c r="AC103" i="57"/>
  <c r="AC104" i="57" s="1"/>
  <c r="T103" i="57"/>
  <c r="E100" i="57"/>
  <c r="C100" i="57"/>
  <c r="C104" i="57" s="1"/>
  <c r="AE99" i="57"/>
  <c r="AE100" i="57" s="1"/>
  <c r="AD99" i="57"/>
  <c r="AD100" i="57" s="1"/>
  <c r="AC99" i="57"/>
  <c r="C99" i="57"/>
  <c r="C103" i="57" s="1"/>
  <c r="AC98" i="57"/>
  <c r="C98" i="57"/>
  <c r="C102" i="57" s="1"/>
  <c r="AE96" i="57"/>
  <c r="AD96" i="57"/>
  <c r="AC94" i="57"/>
  <c r="AC96" i="57" s="1"/>
  <c r="C85" i="57"/>
  <c r="C90" i="57" s="1"/>
  <c r="C84" i="57"/>
  <c r="C89" i="57" s="1"/>
  <c r="C83" i="57"/>
  <c r="C88" i="57" s="1"/>
  <c r="C82" i="57"/>
  <c r="C87" i="57" s="1"/>
  <c r="E77" i="57"/>
  <c r="E80" i="57" s="1"/>
  <c r="E73" i="57"/>
  <c r="O73" i="57" s="1"/>
  <c r="X73" i="57" s="1"/>
  <c r="E70" i="57"/>
  <c r="E67" i="57"/>
  <c r="O67" i="57" s="1"/>
  <c r="E64" i="57"/>
  <c r="O64" i="57" s="1"/>
  <c r="E49" i="57"/>
  <c r="E44" i="57"/>
  <c r="O44" i="57" s="1"/>
  <c r="E43" i="57"/>
  <c r="O43" i="57" s="1"/>
  <c r="E42" i="57"/>
  <c r="O42" i="57" s="1"/>
  <c r="E41" i="57"/>
  <c r="O41" i="57" s="1"/>
  <c r="X41" i="57" s="1"/>
  <c r="AE40" i="57"/>
  <c r="AD40" i="57"/>
  <c r="AC40" i="57"/>
  <c r="AA40" i="57"/>
  <c r="G40" i="57"/>
  <c r="Y40" i="57" s="1"/>
  <c r="F40" i="57"/>
  <c r="E38" i="57"/>
  <c r="O38" i="57" s="1"/>
  <c r="X38" i="57" s="1"/>
  <c r="E37" i="57"/>
  <c r="O37" i="57" s="1"/>
  <c r="E36" i="57"/>
  <c r="E35" i="57"/>
  <c r="AE34" i="57"/>
  <c r="AD34" i="57"/>
  <c r="AC34" i="57"/>
  <c r="AA34" i="57"/>
  <c r="V34" i="57"/>
  <c r="V40" i="57" s="1"/>
  <c r="V53" i="57" s="1"/>
  <c r="U34" i="57"/>
  <c r="U40" i="57" s="1"/>
  <c r="U53" i="57" s="1"/>
  <c r="G34" i="57"/>
  <c r="Y34" i="57" s="1"/>
  <c r="F34" i="57"/>
  <c r="X34" i="57" s="1"/>
  <c r="E32" i="57"/>
  <c r="O32" i="57" s="1"/>
  <c r="E31" i="57"/>
  <c r="O31" i="57" s="1"/>
  <c r="E30" i="57"/>
  <c r="O30" i="57" s="1"/>
  <c r="AE29" i="57"/>
  <c r="AD29" i="57"/>
  <c r="AC29" i="57"/>
  <c r="AA29" i="57"/>
  <c r="G29" i="57"/>
  <c r="Y29" i="57" s="1"/>
  <c r="F29" i="57"/>
  <c r="X29" i="57" s="1"/>
  <c r="O27" i="57"/>
  <c r="X27" i="57" s="1"/>
  <c r="C27" i="57"/>
  <c r="C32" i="57" s="1"/>
  <c r="C37" i="57" s="1"/>
  <c r="C43" i="57" s="1"/>
  <c r="E26" i="57"/>
  <c r="C26" i="57"/>
  <c r="C31" i="57" s="1"/>
  <c r="E25" i="57"/>
  <c r="C25" i="57"/>
  <c r="C30" i="57" s="1"/>
  <c r="C54" i="57" s="1"/>
  <c r="C107" i="57" s="1"/>
  <c r="V24" i="57"/>
  <c r="V29" i="57" s="1"/>
  <c r="U24" i="57"/>
  <c r="U29" i="57" s="1"/>
  <c r="T24" i="57"/>
  <c r="T29" i="57" s="1"/>
  <c r="T34" i="57" s="1"/>
  <c r="T40" i="57" s="1"/>
  <c r="T53" i="57" s="1"/>
  <c r="R24" i="57"/>
  <c r="R29" i="57" s="1"/>
  <c r="R34" i="57" s="1"/>
  <c r="R40" i="57" s="1"/>
  <c r="R53" i="57" s="1"/>
  <c r="O24" i="57"/>
  <c r="O29" i="57" s="1"/>
  <c r="O34" i="57" s="1"/>
  <c r="O40" i="57" s="1"/>
  <c r="O53" i="57" s="1"/>
  <c r="T21" i="57"/>
  <c r="U21" i="57" s="1"/>
  <c r="G18" i="57"/>
  <c r="P18" i="57" s="1"/>
  <c r="A1" i="57"/>
  <c r="I184" i="56"/>
  <c r="G184" i="56"/>
  <c r="F184" i="56"/>
  <c r="E184" i="56"/>
  <c r="C184" i="56"/>
  <c r="B184" i="56"/>
  <c r="I183" i="56"/>
  <c r="G183" i="56"/>
  <c r="F183" i="56"/>
  <c r="E183" i="56"/>
  <c r="C183" i="56"/>
  <c r="B183" i="56"/>
  <c r="I182" i="56"/>
  <c r="G182" i="56"/>
  <c r="F182" i="56"/>
  <c r="E182" i="56"/>
  <c r="C182" i="56"/>
  <c r="B182" i="56"/>
  <c r="I181" i="56"/>
  <c r="G181" i="56"/>
  <c r="F181" i="56"/>
  <c r="E181" i="56"/>
  <c r="C181" i="56"/>
  <c r="B181" i="56"/>
  <c r="I180" i="56"/>
  <c r="G180" i="56"/>
  <c r="F180" i="56"/>
  <c r="E180" i="56"/>
  <c r="C180" i="56"/>
  <c r="B180" i="56"/>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AQ175" i="56"/>
  <c r="AP175" i="56"/>
  <c r="AO175" i="56"/>
  <c r="AN175" i="56"/>
  <c r="AM175" i="56"/>
  <c r="AL175" i="56"/>
  <c r="AK175" i="56"/>
  <c r="AJ175" i="56"/>
  <c r="AI175" i="56"/>
  <c r="AH175" i="56"/>
  <c r="AG175" i="56"/>
  <c r="AF175" i="56"/>
  <c r="AE175" i="56"/>
  <c r="AD175" i="56"/>
  <c r="AC175" i="56"/>
  <c r="AB175" i="56"/>
  <c r="AA175" i="56"/>
  <c r="Z175" i="56"/>
  <c r="Y175" i="56"/>
  <c r="X175" i="56"/>
  <c r="W175" i="56"/>
  <c r="V175" i="56"/>
  <c r="U175" i="56"/>
  <c r="T175" i="56"/>
  <c r="S175" i="56"/>
  <c r="R175" i="56"/>
  <c r="Q175" i="56"/>
  <c r="P175" i="56"/>
  <c r="O175" i="56"/>
  <c r="N175" i="56"/>
  <c r="M175" i="56"/>
  <c r="L175" i="56"/>
  <c r="K175" i="56"/>
  <c r="I175" i="56"/>
  <c r="G175" i="56"/>
  <c r="F175" i="56"/>
  <c r="E175" i="56"/>
  <c r="C175" i="56"/>
  <c r="B175" i="56"/>
  <c r="AQ172" i="56"/>
  <c r="AP172" i="56"/>
  <c r="AO172" i="56"/>
  <c r="AN172" i="56"/>
  <c r="AM172" i="56"/>
  <c r="AL172" i="56"/>
  <c r="AK172" i="56"/>
  <c r="AJ172" i="56"/>
  <c r="AI172" i="56"/>
  <c r="AH172" i="56"/>
  <c r="AG172" i="56"/>
  <c r="AF172" i="56"/>
  <c r="AE172" i="56"/>
  <c r="AD172" i="56"/>
  <c r="AC172" i="56"/>
  <c r="AB172" i="56"/>
  <c r="AA172" i="56"/>
  <c r="Z172" i="56"/>
  <c r="Y172" i="56"/>
  <c r="X172" i="56"/>
  <c r="W172" i="56"/>
  <c r="V172" i="56"/>
  <c r="U172" i="56"/>
  <c r="T172" i="56"/>
  <c r="S172" i="56"/>
  <c r="R172" i="56"/>
  <c r="Q172" i="56"/>
  <c r="P172" i="56"/>
  <c r="O172" i="56"/>
  <c r="N172" i="56"/>
  <c r="M172" i="56"/>
  <c r="L172" i="56"/>
  <c r="K172" i="56"/>
  <c r="J172" i="56"/>
  <c r="I172" i="56"/>
  <c r="G172" i="56"/>
  <c r="F172" i="56"/>
  <c r="E172" i="56"/>
  <c r="D172" i="56"/>
  <c r="AQ171" i="56"/>
  <c r="AP171" i="56"/>
  <c r="AO171" i="56"/>
  <c r="AN171" i="56"/>
  <c r="AM171" i="56"/>
  <c r="AL171" i="56"/>
  <c r="AK171" i="56"/>
  <c r="AJ171" i="56"/>
  <c r="AI171" i="56"/>
  <c r="AH171" i="56"/>
  <c r="AG171" i="56"/>
  <c r="AF171" i="56"/>
  <c r="AE171" i="56"/>
  <c r="AD171" i="56"/>
  <c r="AC171" i="56"/>
  <c r="AB171" i="56"/>
  <c r="AA171" i="56"/>
  <c r="Z171" i="56"/>
  <c r="Y171" i="56"/>
  <c r="X171" i="56"/>
  <c r="W171" i="56"/>
  <c r="V171" i="56"/>
  <c r="U171" i="56"/>
  <c r="T171" i="56"/>
  <c r="S171" i="56"/>
  <c r="R171" i="56"/>
  <c r="Q171" i="56"/>
  <c r="P171" i="56"/>
  <c r="O171" i="56"/>
  <c r="N171" i="56"/>
  <c r="M171" i="56"/>
  <c r="L171" i="56"/>
  <c r="K171" i="56"/>
  <c r="I149" i="56"/>
  <c r="H149" i="56"/>
  <c r="G149" i="56"/>
  <c r="F149" i="56"/>
  <c r="E149" i="56"/>
  <c r="C149" i="56"/>
  <c r="B149" i="56"/>
  <c r="I148" i="56"/>
  <c r="H148" i="56"/>
  <c r="G148" i="56"/>
  <c r="F148" i="56"/>
  <c r="E148" i="56"/>
  <c r="C148" i="56"/>
  <c r="B148" i="56"/>
  <c r="I147" i="56"/>
  <c r="H147" i="56"/>
  <c r="G147" i="56"/>
  <c r="F147" i="56"/>
  <c r="E147" i="56"/>
  <c r="C147" i="56"/>
  <c r="B147" i="56"/>
  <c r="I146" i="56"/>
  <c r="H146" i="56"/>
  <c r="G146" i="56"/>
  <c r="F146" i="56"/>
  <c r="E146" i="56"/>
  <c r="C146" i="56"/>
  <c r="B146" i="56"/>
  <c r="I145" i="56"/>
  <c r="H145" i="56"/>
  <c r="G145" i="56"/>
  <c r="F145" i="56"/>
  <c r="E145" i="56"/>
  <c r="C145" i="56"/>
  <c r="B145"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AP134" i="56"/>
  <c r="AO134" i="56"/>
  <c r="AN134" i="56"/>
  <c r="AM134" i="56"/>
  <c r="AL134" i="56"/>
  <c r="AK134" i="56"/>
  <c r="AJ134" i="56"/>
  <c r="AI134" i="56"/>
  <c r="AH134" i="56"/>
  <c r="AG134" i="56"/>
  <c r="AF134" i="56"/>
  <c r="AE134" i="56"/>
  <c r="AD134" i="56"/>
  <c r="AC134" i="56"/>
  <c r="AB134" i="56"/>
  <c r="AA134" i="56"/>
  <c r="Z134" i="56"/>
  <c r="Y134" i="56"/>
  <c r="X134" i="56"/>
  <c r="W134" i="56"/>
  <c r="V134" i="56"/>
  <c r="U134" i="56"/>
  <c r="T134" i="56"/>
  <c r="S134" i="56"/>
  <c r="R134" i="56"/>
  <c r="Q134" i="56"/>
  <c r="P134" i="56"/>
  <c r="O134" i="56"/>
  <c r="N134" i="56"/>
  <c r="M134" i="56"/>
  <c r="L134" i="56"/>
  <c r="K134" i="56"/>
  <c r="J134" i="56"/>
  <c r="C129" i="56"/>
  <c r="AP133" i="56"/>
  <c r="AO133" i="56"/>
  <c r="AN133" i="56"/>
  <c r="AM133" i="56"/>
  <c r="AL133" i="56"/>
  <c r="AK133" i="56"/>
  <c r="AJ133" i="56"/>
  <c r="AI133" i="56"/>
  <c r="AH133" i="56"/>
  <c r="AG133" i="56"/>
  <c r="AF133" i="56"/>
  <c r="AE133" i="56"/>
  <c r="AD133" i="56"/>
  <c r="AC133" i="56"/>
  <c r="AB133" i="56"/>
  <c r="AA133" i="56"/>
  <c r="Z133" i="56"/>
  <c r="Y133" i="56"/>
  <c r="X133" i="56"/>
  <c r="W133" i="56"/>
  <c r="V133" i="56"/>
  <c r="U133" i="56"/>
  <c r="T133" i="56"/>
  <c r="S133" i="56"/>
  <c r="R133" i="56"/>
  <c r="Q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BA108" i="56"/>
  <c r="AZ108" i="56"/>
  <c r="M108" i="56"/>
  <c r="BA109" i="56"/>
  <c r="BA107" i="56"/>
  <c r="AZ107" i="56"/>
  <c r="M107" i="56"/>
  <c r="N106" i="56"/>
  <c r="O106" i="56" s="1"/>
  <c r="F104" i="56"/>
  <c r="B104" i="56"/>
  <c r="B88" i="56" s="1"/>
  <c r="J188" i="56" s="1"/>
  <c r="F103" i="56"/>
  <c r="F47" i="56" s="1"/>
  <c r="F87" i="56" s="1"/>
  <c r="B103" i="56"/>
  <c r="B87" i="56" s="1"/>
  <c r="J187" i="56" s="1"/>
  <c r="F102" i="56"/>
  <c r="F59" i="56" s="1"/>
  <c r="F86" i="56" s="1"/>
  <c r="B102" i="56"/>
  <c r="B86" i="56" s="1"/>
  <c r="J186" i="56" s="1"/>
  <c r="B101" i="56"/>
  <c r="B85" i="56" s="1"/>
  <c r="J185" i="56" s="1"/>
  <c r="B100" i="56"/>
  <c r="B84" i="56" s="1"/>
  <c r="J184" i="56" s="1"/>
  <c r="B99" i="56"/>
  <c r="B83" i="56" s="1"/>
  <c r="J183" i="56" s="1"/>
  <c r="B98" i="56"/>
  <c r="B82" i="56" s="1"/>
  <c r="J182" i="56" s="1"/>
  <c r="B97" i="56"/>
  <c r="B81" i="56" s="1"/>
  <c r="J181" i="56" s="1"/>
  <c r="B96" i="56"/>
  <c r="B80" i="56" s="1"/>
  <c r="J180" i="56" s="1"/>
  <c r="B95" i="56"/>
  <c r="B79" i="56" s="1"/>
  <c r="J179" i="56" s="1"/>
  <c r="B94" i="56"/>
  <c r="B78" i="56" s="1"/>
  <c r="J178" i="56" s="1"/>
  <c r="B93" i="56"/>
  <c r="B77" i="56" s="1"/>
  <c r="J177" i="56" s="1"/>
  <c r="B92" i="56"/>
  <c r="B76" i="56" s="1"/>
  <c r="J176" i="56" s="1"/>
  <c r="N91" i="56"/>
  <c r="M91" i="56"/>
  <c r="L91" i="56"/>
  <c r="H91" i="56"/>
  <c r="G91" i="56"/>
  <c r="F91" i="56"/>
  <c r="W75" i="56"/>
  <c r="V75" i="56"/>
  <c r="V91" i="56" s="1"/>
  <c r="U75" i="56"/>
  <c r="P75" i="56"/>
  <c r="N75" i="56"/>
  <c r="M75" i="56"/>
  <c r="L75" i="56"/>
  <c r="H75" i="56"/>
  <c r="G75" i="56"/>
  <c r="F75" i="56"/>
  <c r="AJ75" i="56"/>
  <c r="F72" i="56"/>
  <c r="G72" i="56" s="1"/>
  <c r="F71" i="56"/>
  <c r="F70" i="56"/>
  <c r="F69" i="56"/>
  <c r="F82" i="56" s="1"/>
  <c r="F68" i="56"/>
  <c r="F67" i="56"/>
  <c r="F66" i="56"/>
  <c r="F79" i="56" s="1"/>
  <c r="F65" i="56"/>
  <c r="F64" i="56"/>
  <c r="F77" i="56" s="1"/>
  <c r="F63" i="56"/>
  <c r="F76" i="56" s="1"/>
  <c r="F14" i="56"/>
  <c r="F15" i="56" s="1"/>
  <c r="F16" i="56" s="1"/>
  <c r="G13" i="56"/>
  <c r="V12" i="56"/>
  <c r="AD12" i="56" s="1"/>
  <c r="U12" i="56"/>
  <c r="AC12" i="56" s="1"/>
  <c r="T12" i="56"/>
  <c r="AB12" i="56" s="1"/>
  <c r="R12" i="56"/>
  <c r="Z12" i="56" s="1"/>
  <c r="P12" i="56"/>
  <c r="X12" i="56" s="1"/>
  <c r="N12" i="56"/>
  <c r="M12" i="56"/>
  <c r="AD4" i="56"/>
  <c r="AC4" i="56"/>
  <c r="AB4" i="56"/>
  <c r="Z4" i="56"/>
  <c r="X4" i="56"/>
  <c r="A1" i="56"/>
  <c r="J9" i="55"/>
  <c r="AD13" i="56" l="1"/>
  <c r="AA13" i="56"/>
  <c r="S13" i="56"/>
  <c r="H13" i="56"/>
  <c r="I13" i="56" s="1"/>
  <c r="X67" i="57"/>
  <c r="Y67" i="57"/>
  <c r="AJ76" i="56"/>
  <c r="P91" i="56"/>
  <c r="AB75" i="56"/>
  <c r="AM76" i="56"/>
  <c r="U91" i="56"/>
  <c r="I137" i="57"/>
  <c r="G139" i="57"/>
  <c r="G103" i="57"/>
  <c r="J98" i="57"/>
  <c r="M94" i="57"/>
  <c r="G89" i="57"/>
  <c r="H83" i="57"/>
  <c r="M84" i="57"/>
  <c r="H79" i="57"/>
  <c r="H95" i="57"/>
  <c r="J83" i="57"/>
  <c r="J137" i="57"/>
  <c r="H139" i="57"/>
  <c r="H103" i="57"/>
  <c r="K98" i="57"/>
  <c r="G95" i="57"/>
  <c r="H89" i="57"/>
  <c r="I83" i="57"/>
  <c r="I79" i="57"/>
  <c r="L98" i="57"/>
  <c r="I139" i="57"/>
  <c r="I103" i="57"/>
  <c r="I89" i="57"/>
  <c r="J79" i="57"/>
  <c r="J139" i="57"/>
  <c r="M98" i="57"/>
  <c r="I95" i="57"/>
  <c r="J89" i="57"/>
  <c r="K83" i="57"/>
  <c r="K79" i="57"/>
  <c r="F41" i="57"/>
  <c r="H99" i="57"/>
  <c r="M79" i="57"/>
  <c r="K139" i="57"/>
  <c r="K103" i="57"/>
  <c r="G99" i="57"/>
  <c r="J95" i="57"/>
  <c r="K89" i="57"/>
  <c r="L83" i="57"/>
  <c r="G78" i="57"/>
  <c r="L79" i="57"/>
  <c r="G102" i="57"/>
  <c r="G88" i="57"/>
  <c r="G138" i="57"/>
  <c r="L139" i="57"/>
  <c r="K95" i="57"/>
  <c r="L89" i="57"/>
  <c r="M83" i="57"/>
  <c r="H78" i="57"/>
  <c r="H138" i="57"/>
  <c r="H102" i="57"/>
  <c r="I99" i="57"/>
  <c r="G94" i="57"/>
  <c r="L95" i="57"/>
  <c r="H88" i="57"/>
  <c r="M89" i="57"/>
  <c r="G84" i="57"/>
  <c r="F27" i="57"/>
  <c r="I138" i="57"/>
  <c r="I102" i="57"/>
  <c r="J99" i="57"/>
  <c r="H94" i="57"/>
  <c r="M95" i="57"/>
  <c r="I88" i="57"/>
  <c r="H84" i="57"/>
  <c r="M102" i="57"/>
  <c r="M139" i="57"/>
  <c r="J138" i="57"/>
  <c r="J102" i="57"/>
  <c r="K99" i="57"/>
  <c r="I94" i="57"/>
  <c r="J88" i="57"/>
  <c r="I84" i="57"/>
  <c r="K78" i="57"/>
  <c r="L84" i="57"/>
  <c r="K102" i="57"/>
  <c r="G98" i="57"/>
  <c r="L99" i="57"/>
  <c r="J94" i="57"/>
  <c r="K88" i="57"/>
  <c r="J84" i="57"/>
  <c r="L78" i="57"/>
  <c r="F37" i="57"/>
  <c r="F30" i="57"/>
  <c r="H137" i="57"/>
  <c r="I98" i="57"/>
  <c r="G137" i="57"/>
  <c r="F132" i="57"/>
  <c r="L102" i="57"/>
  <c r="H98" i="57"/>
  <c r="M99" i="57"/>
  <c r="K94" i="57"/>
  <c r="L88" i="57"/>
  <c r="K84" i="57"/>
  <c r="M78" i="57"/>
  <c r="F38" i="57"/>
  <c r="L94" i="57"/>
  <c r="M88" i="57"/>
  <c r="G83" i="57"/>
  <c r="G79" i="57"/>
  <c r="P42" i="57"/>
  <c r="Y42" i="57" s="1"/>
  <c r="X42" i="57"/>
  <c r="P133" i="57"/>
  <c r="G133" i="57" s="1"/>
  <c r="X133" i="57"/>
  <c r="Y43" i="57"/>
  <c r="X43" i="57"/>
  <c r="G134" i="57"/>
  <c r="X134" i="57"/>
  <c r="P30" i="57"/>
  <c r="Y30" i="57" s="1"/>
  <c r="X30" i="57"/>
  <c r="P44" i="57"/>
  <c r="G44" i="57" s="1"/>
  <c r="X44" i="57"/>
  <c r="P31" i="57"/>
  <c r="Y31" i="57" s="1"/>
  <c r="X31" i="57"/>
  <c r="P37" i="57"/>
  <c r="G37" i="57" s="1"/>
  <c r="X37" i="57"/>
  <c r="P32" i="57"/>
  <c r="Y32" i="57" s="1"/>
  <c r="X32" i="57"/>
  <c r="P64" i="57"/>
  <c r="Y64" i="57" s="1"/>
  <c r="X64" i="57"/>
  <c r="P143" i="57"/>
  <c r="G143" i="57" s="1"/>
  <c r="X143" i="57"/>
  <c r="AS197" i="57"/>
  <c r="D211" i="57"/>
  <c r="E211" i="57"/>
  <c r="F211" i="57"/>
  <c r="G211" i="57"/>
  <c r="H211" i="57"/>
  <c r="I211" i="57"/>
  <c r="J211" i="57"/>
  <c r="K211" i="57"/>
  <c r="O66" i="57"/>
  <c r="O63" i="57"/>
  <c r="R66" i="57"/>
  <c r="R63" i="57"/>
  <c r="E164" i="57"/>
  <c r="O142" i="57"/>
  <c r="F142" i="57" s="1"/>
  <c r="T66" i="57"/>
  <c r="T63" i="57"/>
  <c r="U66" i="57"/>
  <c r="U63" i="57"/>
  <c r="E57" i="57"/>
  <c r="V66" i="57"/>
  <c r="V63" i="57"/>
  <c r="F138" i="57"/>
  <c r="F88" i="57"/>
  <c r="F79" i="57"/>
  <c r="F102" i="57"/>
  <c r="F133" i="57"/>
  <c r="F99" i="57"/>
  <c r="F143" i="57"/>
  <c r="F89" i="57"/>
  <c r="F98" i="57"/>
  <c r="F94" i="57"/>
  <c r="F84" i="57"/>
  <c r="F78" i="57"/>
  <c r="F137" i="57"/>
  <c r="F103" i="57"/>
  <c r="F95" i="57"/>
  <c r="F83" i="57"/>
  <c r="F139" i="57"/>
  <c r="F31" i="57"/>
  <c r="F32" i="57"/>
  <c r="F48" i="57"/>
  <c r="P48" i="57" s="1"/>
  <c r="Y48" i="57" s="1"/>
  <c r="G48" i="57" s="1"/>
  <c r="U103" i="57"/>
  <c r="U104" i="57" s="1"/>
  <c r="T104" i="57"/>
  <c r="S103" i="57"/>
  <c r="J103" i="57" s="1"/>
  <c r="P38" i="57"/>
  <c r="G38" i="57" s="1"/>
  <c r="P27" i="57"/>
  <c r="Y27" i="57" s="1"/>
  <c r="E68" i="57"/>
  <c r="O68" i="57" s="1"/>
  <c r="X68" i="57" s="1"/>
  <c r="O70" i="57"/>
  <c r="X70" i="57" s="1"/>
  <c r="P41" i="57"/>
  <c r="G41" i="57" s="1"/>
  <c r="O35" i="57"/>
  <c r="F35" i="57" s="1"/>
  <c r="F53" i="57"/>
  <c r="F63" i="57" s="1"/>
  <c r="G53" i="57"/>
  <c r="F88" i="56"/>
  <c r="AR197" i="57"/>
  <c r="L215" i="57"/>
  <c r="Y8" i="58"/>
  <c r="Z67" i="58"/>
  <c r="Z104" i="58" s="1"/>
  <c r="Z22" i="58"/>
  <c r="Z25" i="58" s="1"/>
  <c r="Z7" i="58"/>
  <c r="AA4" i="58"/>
  <c r="Z6" i="58"/>
  <c r="Z5" i="58"/>
  <c r="Z12" i="58" a="1"/>
  <c r="Z12" i="58" s="1"/>
  <c r="Z11" i="58" s="1"/>
  <c r="G67" i="56"/>
  <c r="P67" i="56" s="1"/>
  <c r="F80" i="56"/>
  <c r="G68" i="56"/>
  <c r="G81" i="56" s="1"/>
  <c r="F81" i="56"/>
  <c r="G69" i="56"/>
  <c r="G82" i="56" s="1"/>
  <c r="F56" i="56"/>
  <c r="K183" i="56" s="1"/>
  <c r="F83" i="56"/>
  <c r="F57" i="56"/>
  <c r="K184" i="56" s="1"/>
  <c r="F84" i="56"/>
  <c r="G85" i="56"/>
  <c r="F85" i="56"/>
  <c r="F51" i="56"/>
  <c r="F78" i="56"/>
  <c r="AE139" i="57"/>
  <c r="AZ109" i="56"/>
  <c r="AZ110" i="56" s="1"/>
  <c r="G15" i="56"/>
  <c r="AL76" i="56"/>
  <c r="P13" i="56"/>
  <c r="N107" i="56"/>
  <c r="T13" i="56"/>
  <c r="F17" i="56"/>
  <c r="G16" i="56"/>
  <c r="X75" i="56"/>
  <c r="N109" i="56"/>
  <c r="AE135" i="56"/>
  <c r="AE136" i="56" s="1"/>
  <c r="R13" i="56"/>
  <c r="S135" i="56"/>
  <c r="S136" i="56" s="1"/>
  <c r="U13" i="56"/>
  <c r="T135" i="56"/>
  <c r="T136" i="56" s="1"/>
  <c r="AA173" i="56"/>
  <c r="AA174" i="56" s="1"/>
  <c r="X13" i="56"/>
  <c r="N108" i="56"/>
  <c r="U135" i="56"/>
  <c r="U136" i="56" s="1"/>
  <c r="AH173" i="56"/>
  <c r="AH174" i="56" s="1"/>
  <c r="AC13" i="56"/>
  <c r="X135" i="56"/>
  <c r="X136" i="56" s="1"/>
  <c r="AM173" i="56"/>
  <c r="AM174" i="56" s="1"/>
  <c r="AB135" i="56"/>
  <c r="AB136" i="56" s="1"/>
  <c r="BA110" i="56"/>
  <c r="J229" i="57"/>
  <c r="J250" i="57" s="1"/>
  <c r="M229" i="57"/>
  <c r="AP216" i="57"/>
  <c r="AC100" i="57"/>
  <c r="BH196" i="57"/>
  <c r="E249" i="57"/>
  <c r="L249" i="57" s="1"/>
  <c r="F229" i="57"/>
  <c r="F250" i="57" s="1"/>
  <c r="AO216" i="57"/>
  <c r="G229" i="57"/>
  <c r="G250" i="57" s="1"/>
  <c r="H229" i="57"/>
  <c r="H250" i="57" s="1"/>
  <c r="I229" i="57"/>
  <c r="I250" i="57" s="1"/>
  <c r="C35" i="57"/>
  <c r="C41" i="57" s="1"/>
  <c r="M196" i="57"/>
  <c r="AP197" i="57"/>
  <c r="AQ197" i="57"/>
  <c r="K215" i="57"/>
  <c r="N197" i="57"/>
  <c r="N196" i="57"/>
  <c r="K216" i="57"/>
  <c r="BE250" i="57"/>
  <c r="C56" i="57"/>
  <c r="C109" i="57" s="1"/>
  <c r="O197" i="57"/>
  <c r="O196" i="57"/>
  <c r="M214" i="57"/>
  <c r="M216" i="57" s="1"/>
  <c r="BE215" i="57"/>
  <c r="AX229" i="57"/>
  <c r="AY229" i="57"/>
  <c r="F53" i="56"/>
  <c r="K180" i="56" s="1"/>
  <c r="F54" i="56"/>
  <c r="K181" i="56" s="1"/>
  <c r="AG26" i="44"/>
  <c r="F58" i="56"/>
  <c r="K185" i="56" s="1"/>
  <c r="C3" i="57"/>
  <c r="E87" i="57"/>
  <c r="E90" i="57" s="1"/>
  <c r="G70" i="56"/>
  <c r="F55" i="56"/>
  <c r="K182" i="56" s="1"/>
  <c r="G71" i="56"/>
  <c r="P16" i="56"/>
  <c r="AB16" i="56"/>
  <c r="F52" i="56"/>
  <c r="G66" i="56"/>
  <c r="G79" i="56" s="1"/>
  <c r="AK76" i="56"/>
  <c r="Z75" i="56"/>
  <c r="Z91" i="56" s="1"/>
  <c r="AN76" i="56"/>
  <c r="AD75" i="56"/>
  <c r="O107" i="56"/>
  <c r="O108" i="56"/>
  <c r="P106" i="56"/>
  <c r="O109" i="56"/>
  <c r="G65" i="56"/>
  <c r="P88" i="56"/>
  <c r="X88" i="56" s="1"/>
  <c r="G104" i="56"/>
  <c r="Q88" i="56" s="1"/>
  <c r="Y88" i="56" s="1"/>
  <c r="G63" i="56"/>
  <c r="G76" i="56" s="1"/>
  <c r="F43" i="56"/>
  <c r="F46" i="56"/>
  <c r="G64" i="56"/>
  <c r="G77" i="56" s="1"/>
  <c r="G14" i="56"/>
  <c r="V15" i="56"/>
  <c r="C3" i="56"/>
  <c r="V13" i="56"/>
  <c r="Z13" i="56"/>
  <c r="AB13" i="56"/>
  <c r="AC75" i="56"/>
  <c r="M109" i="56"/>
  <c r="M110" i="56" s="1"/>
  <c r="AI173" i="56"/>
  <c r="AI174" i="56" s="1"/>
  <c r="W173" i="56"/>
  <c r="W174" i="56" s="1"/>
  <c r="K173" i="56"/>
  <c r="K174" i="56" s="1"/>
  <c r="AF173" i="56"/>
  <c r="AF174" i="56" s="1"/>
  <c r="T173" i="56"/>
  <c r="T174" i="56" s="1"/>
  <c r="AP135" i="56"/>
  <c r="AP136" i="56" s="1"/>
  <c r="AD135" i="56"/>
  <c r="AD136" i="56" s="1"/>
  <c r="R135" i="56"/>
  <c r="R136" i="56" s="1"/>
  <c r="AQ173" i="56"/>
  <c r="AQ174" i="56" s="1"/>
  <c r="AE173" i="56"/>
  <c r="AE174" i="56" s="1"/>
  <c r="S173" i="56"/>
  <c r="S174" i="56" s="1"/>
  <c r="AO135" i="56"/>
  <c r="AO136" i="56" s="1"/>
  <c r="AC135" i="56"/>
  <c r="AC136" i="56" s="1"/>
  <c r="Q135" i="56"/>
  <c r="Q136" i="56" s="1"/>
  <c r="AP173" i="56"/>
  <c r="AP174" i="56" s="1"/>
  <c r="AD173" i="56"/>
  <c r="AD174" i="56" s="1"/>
  <c r="R173" i="56"/>
  <c r="R174" i="56" s="1"/>
  <c r="AO173" i="56"/>
  <c r="AO174" i="56" s="1"/>
  <c r="AC173" i="56"/>
  <c r="AC174" i="56" s="1"/>
  <c r="Q173" i="56"/>
  <c r="Q174" i="56" s="1"/>
  <c r="AM135" i="56"/>
  <c r="AM136" i="56" s="1"/>
  <c r="AA135" i="56"/>
  <c r="AA136" i="56" s="1"/>
  <c r="O135" i="56"/>
  <c r="O136" i="56" s="1"/>
  <c r="AN173" i="56"/>
  <c r="AN174" i="56" s="1"/>
  <c r="AB173" i="56"/>
  <c r="AB174" i="56" s="1"/>
  <c r="P173" i="56"/>
  <c r="P174" i="56" s="1"/>
  <c r="AL135" i="56"/>
  <c r="AL136" i="56" s="1"/>
  <c r="Z135" i="56"/>
  <c r="Z136" i="56" s="1"/>
  <c r="N135" i="56"/>
  <c r="N136" i="56" s="1"/>
  <c r="AK173" i="56"/>
  <c r="AK174" i="56" s="1"/>
  <c r="Y173" i="56"/>
  <c r="Y174" i="56" s="1"/>
  <c r="M173" i="56"/>
  <c r="M174" i="56" s="1"/>
  <c r="AI135" i="56"/>
  <c r="AI136" i="56" s="1"/>
  <c r="W135" i="56"/>
  <c r="W136" i="56" s="1"/>
  <c r="K135" i="56"/>
  <c r="K136" i="56" s="1"/>
  <c r="AJ173" i="56"/>
  <c r="AJ174" i="56" s="1"/>
  <c r="X173" i="56"/>
  <c r="X174" i="56" s="1"/>
  <c r="L173" i="56"/>
  <c r="L174" i="56" s="1"/>
  <c r="AH135" i="56"/>
  <c r="AH136" i="56" s="1"/>
  <c r="V135" i="56"/>
  <c r="V136" i="56" s="1"/>
  <c r="J135" i="56"/>
  <c r="J136" i="56" s="1"/>
  <c r="AF135" i="56"/>
  <c r="AF136" i="56" s="1"/>
  <c r="AG135" i="56"/>
  <c r="AG136" i="56" s="1"/>
  <c r="N173" i="56"/>
  <c r="N174" i="56" s="1"/>
  <c r="L135" i="56"/>
  <c r="L136" i="56" s="1"/>
  <c r="AJ135" i="56"/>
  <c r="AJ136" i="56" s="1"/>
  <c r="O173" i="56"/>
  <c r="O174" i="56" s="1"/>
  <c r="M135" i="56"/>
  <c r="M136" i="56" s="1"/>
  <c r="AK135" i="56"/>
  <c r="AK136" i="56" s="1"/>
  <c r="U173" i="56"/>
  <c r="U174" i="56" s="1"/>
  <c r="O25" i="57"/>
  <c r="F25" i="57" s="1"/>
  <c r="P135" i="56"/>
  <c r="P136" i="56" s="1"/>
  <c r="AN135" i="56"/>
  <c r="AN136" i="56" s="1"/>
  <c r="V173" i="56"/>
  <c r="V174" i="56" s="1"/>
  <c r="Z173" i="56"/>
  <c r="Z174" i="56" s="1"/>
  <c r="AG173" i="56"/>
  <c r="AG174" i="56" s="1"/>
  <c r="Y135" i="56"/>
  <c r="Y136" i="56" s="1"/>
  <c r="AL173" i="56"/>
  <c r="AL174" i="56" s="1"/>
  <c r="V21" i="57"/>
  <c r="E82" i="57"/>
  <c r="E85" i="57" s="1"/>
  <c r="O36" i="57"/>
  <c r="F36" i="57" s="1"/>
  <c r="C36" i="57"/>
  <c r="C42" i="57" s="1"/>
  <c r="C55" i="57"/>
  <c r="F44" i="57"/>
  <c r="F42" i="57"/>
  <c r="C75" i="57"/>
  <c r="C93" i="57" s="1"/>
  <c r="C114" i="57" s="1"/>
  <c r="B27" i="57"/>
  <c r="E69" i="57"/>
  <c r="O69" i="57" s="1"/>
  <c r="X69" i="57" s="1"/>
  <c r="X40" i="57"/>
  <c r="J236" i="57"/>
  <c r="E50" i="57"/>
  <c r="O100" i="57"/>
  <c r="O26" i="57"/>
  <c r="F26" i="57" s="1"/>
  <c r="E144" i="57"/>
  <c r="O144" i="57" s="1"/>
  <c r="BE249" i="57"/>
  <c r="BF249" i="57"/>
  <c r="BE222" i="57"/>
  <c r="BF222" i="57" s="1"/>
  <c r="BH203" i="57"/>
  <c r="BI203" i="57" s="1"/>
  <c r="N198" i="57"/>
  <c r="L216" i="57"/>
  <c r="C211" i="57"/>
  <c r="M249" i="57"/>
  <c r="K259" i="57"/>
  <c r="M250" i="57"/>
  <c r="J215" i="57"/>
  <c r="N250" i="57"/>
  <c r="N249" i="57"/>
  <c r="M232" i="57"/>
  <c r="M228" i="57"/>
  <c r="AM216" i="57"/>
  <c r="K228" i="57"/>
  <c r="L259" i="57"/>
  <c r="AN216" i="57"/>
  <c r="L228" i="57"/>
  <c r="L229" i="57"/>
  <c r="D229" i="57"/>
  <c r="BF250" i="57"/>
  <c r="L250" i="57"/>
  <c r="J96" i="57" l="1"/>
  <c r="AD15" i="56"/>
  <c r="AA15" i="56"/>
  <c r="H15" i="56"/>
  <c r="I15" i="56" s="1"/>
  <c r="S15" i="56"/>
  <c r="J13" i="56"/>
  <c r="K13" i="56" s="1"/>
  <c r="Y13" i="56"/>
  <c r="Q13" i="56"/>
  <c r="H14" i="56"/>
  <c r="I14" i="56" s="1"/>
  <c r="AA14" i="56"/>
  <c r="P14" i="56"/>
  <c r="S14" i="56"/>
  <c r="Z16" i="56"/>
  <c r="S16" i="56"/>
  <c r="AA16" i="56"/>
  <c r="H16" i="56"/>
  <c r="I16" i="56" s="1"/>
  <c r="L103" i="57"/>
  <c r="L96" i="57"/>
  <c r="G104" i="57"/>
  <c r="H104" i="57"/>
  <c r="J104" i="57"/>
  <c r="Q43" i="57"/>
  <c r="H43" i="57" s="1"/>
  <c r="Q32" i="57"/>
  <c r="Z32" i="57" s="1"/>
  <c r="Q31" i="57"/>
  <c r="Z31" i="57" s="1"/>
  <c r="G42" i="57"/>
  <c r="Q42" i="57"/>
  <c r="H42" i="57" s="1"/>
  <c r="G43" i="57"/>
  <c r="G30" i="57"/>
  <c r="Q67" i="56"/>
  <c r="X67" i="56"/>
  <c r="G27" i="57"/>
  <c r="Q64" i="57"/>
  <c r="R64" i="57" s="1"/>
  <c r="G64" i="57"/>
  <c r="G31" i="57"/>
  <c r="H32" i="57"/>
  <c r="G32" i="57"/>
  <c r="AQ76" i="56"/>
  <c r="AR76" i="56"/>
  <c r="AB91" i="56"/>
  <c r="AP76" i="56"/>
  <c r="X91" i="56"/>
  <c r="AT76" i="56"/>
  <c r="AD91" i="56"/>
  <c r="AS76" i="56"/>
  <c r="AC91" i="56"/>
  <c r="G100" i="57"/>
  <c r="G96" i="57"/>
  <c r="L104" i="57"/>
  <c r="H96" i="57"/>
  <c r="K104" i="57"/>
  <c r="F100" i="57"/>
  <c r="I96" i="57"/>
  <c r="F96" i="57"/>
  <c r="I104" i="57"/>
  <c r="H100" i="57"/>
  <c r="K96" i="57"/>
  <c r="K100" i="57"/>
  <c r="I100" i="57"/>
  <c r="L100" i="57"/>
  <c r="M96" i="57"/>
  <c r="J100" i="57"/>
  <c r="F104" i="57"/>
  <c r="M100" i="57"/>
  <c r="S104" i="57"/>
  <c r="AB103" i="57"/>
  <c r="AB104" i="57" s="1"/>
  <c r="X100" i="57"/>
  <c r="Y41" i="57"/>
  <c r="Q44" i="57"/>
  <c r="H44" i="57" s="1"/>
  <c r="Y44" i="57"/>
  <c r="Q143" i="57"/>
  <c r="H143" i="57" s="1"/>
  <c r="Y143" i="57"/>
  <c r="Q134" i="57"/>
  <c r="H134" i="57" s="1"/>
  <c r="Y134" i="57"/>
  <c r="P144" i="57"/>
  <c r="G144" i="57" s="1"/>
  <c r="X144" i="57"/>
  <c r="X25" i="57"/>
  <c r="Q30" i="57"/>
  <c r="X26" i="57"/>
  <c r="Q38" i="57"/>
  <c r="H38" i="57" s="1"/>
  <c r="Y38" i="57"/>
  <c r="Q37" i="57"/>
  <c r="H37" i="57" s="1"/>
  <c r="Y37" i="57"/>
  <c r="Q133" i="57"/>
  <c r="H133" i="57" s="1"/>
  <c r="Y133" i="57"/>
  <c r="P36" i="57"/>
  <c r="X36" i="57"/>
  <c r="P35" i="57"/>
  <c r="G35" i="57" s="1"/>
  <c r="X35" i="57"/>
  <c r="P142" i="57"/>
  <c r="G142" i="57" s="1"/>
  <c r="X142" i="57"/>
  <c r="R42" i="57"/>
  <c r="Z42" i="57"/>
  <c r="Q48" i="57"/>
  <c r="F144" i="57"/>
  <c r="V103" i="57"/>
  <c r="M103" i="57" s="1"/>
  <c r="M104" i="57" s="1"/>
  <c r="O77" i="57"/>
  <c r="G63" i="57"/>
  <c r="P26" i="57"/>
  <c r="Y70" i="57"/>
  <c r="P25" i="57"/>
  <c r="P68" i="57"/>
  <c r="Y68" i="57" s="1"/>
  <c r="Q67" i="57"/>
  <c r="Z67" i="57" s="1"/>
  <c r="P87" i="57"/>
  <c r="G87" i="57" s="1"/>
  <c r="G90" i="57" s="1"/>
  <c r="P69" i="57"/>
  <c r="Y69" i="57" s="1"/>
  <c r="Q27" i="57"/>
  <c r="Q41" i="57"/>
  <c r="H41" i="57" s="1"/>
  <c r="T15" i="56"/>
  <c r="G78" i="56"/>
  <c r="P65" i="56"/>
  <c r="X15" i="56"/>
  <c r="X16" i="56"/>
  <c r="AB15" i="56"/>
  <c r="AC15" i="56"/>
  <c r="AC16" i="56"/>
  <c r="V16" i="56"/>
  <c r="N16" i="56" s="1"/>
  <c r="AD16" i="56"/>
  <c r="U16" i="56"/>
  <c r="M16" i="56" s="1"/>
  <c r="C86" i="57"/>
  <c r="C101" i="57" s="1"/>
  <c r="C122" i="57" s="1"/>
  <c r="H67" i="56"/>
  <c r="AA25" i="58"/>
  <c r="AA67" i="58"/>
  <c r="AA104" i="58" s="1"/>
  <c r="AA6" i="58"/>
  <c r="AA22" i="58"/>
  <c r="AA12" i="58" a="1"/>
  <c r="AA12" i="58" s="1"/>
  <c r="AA11" i="58" s="1"/>
  <c r="AB4" i="58"/>
  <c r="AA7" i="58"/>
  <c r="AA5" i="58"/>
  <c r="Y87" i="58"/>
  <c r="Y76" i="58"/>
  <c r="Y77" i="58"/>
  <c r="Y88" i="58"/>
  <c r="Z8" i="58"/>
  <c r="H69" i="56"/>
  <c r="H82" i="56" s="1"/>
  <c r="P69" i="56"/>
  <c r="H68" i="56"/>
  <c r="P68" i="56"/>
  <c r="F89" i="56"/>
  <c r="P71" i="56"/>
  <c r="G84" i="56"/>
  <c r="G83" i="56"/>
  <c r="P72" i="56"/>
  <c r="H72" i="56"/>
  <c r="G80" i="56"/>
  <c r="Z15" i="56"/>
  <c r="R15" i="56"/>
  <c r="P15" i="56"/>
  <c r="U15" i="56"/>
  <c r="P70" i="56"/>
  <c r="N110" i="56"/>
  <c r="T16" i="56"/>
  <c r="L16" i="56" s="1"/>
  <c r="R16" i="56"/>
  <c r="F18" i="56"/>
  <c r="G17" i="56"/>
  <c r="N214" i="57"/>
  <c r="Q196" i="57" s="1"/>
  <c r="M215" i="57"/>
  <c r="O96" i="57"/>
  <c r="L230" i="57"/>
  <c r="L231" i="57" s="1"/>
  <c r="P198" i="57"/>
  <c r="N199" i="57"/>
  <c r="P196" i="57"/>
  <c r="P197" i="57"/>
  <c r="BE251" i="57"/>
  <c r="BE252" i="57" s="1"/>
  <c r="N251" i="57"/>
  <c r="N252" i="57" s="1"/>
  <c r="BF251" i="57"/>
  <c r="BF252" i="57" s="1"/>
  <c r="L217" i="57"/>
  <c r="L218" i="57" s="1"/>
  <c r="F43" i="57"/>
  <c r="H71" i="56"/>
  <c r="H70" i="56"/>
  <c r="H63" i="56"/>
  <c r="P63" i="56"/>
  <c r="H65" i="56"/>
  <c r="H66" i="56"/>
  <c r="P66" i="56"/>
  <c r="K179" i="56"/>
  <c r="Q106" i="56"/>
  <c r="P108" i="56"/>
  <c r="P107" i="56"/>
  <c r="P109" i="56"/>
  <c r="L13" i="56"/>
  <c r="N13" i="56"/>
  <c r="M13" i="56"/>
  <c r="N15" i="56"/>
  <c r="M15" i="56"/>
  <c r="L15" i="56"/>
  <c r="T14" i="56"/>
  <c r="AD14" i="56"/>
  <c r="X14" i="56"/>
  <c r="U14" i="56"/>
  <c r="AB14" i="56"/>
  <c r="AC14" i="56"/>
  <c r="V14" i="56"/>
  <c r="N14" i="56" s="1"/>
  <c r="Z14" i="56"/>
  <c r="R14" i="56"/>
  <c r="H104" i="56"/>
  <c r="G88" i="56"/>
  <c r="O110" i="56"/>
  <c r="H64" i="56"/>
  <c r="P64" i="56"/>
  <c r="E51" i="57"/>
  <c r="E110" i="57"/>
  <c r="K177" i="56"/>
  <c r="F48" i="56"/>
  <c r="F39" i="56" s="1"/>
  <c r="P39" i="56" s="1"/>
  <c r="K230" i="57"/>
  <c r="K231" i="57" s="1"/>
  <c r="AO217" i="57"/>
  <c r="AO218" i="57" s="1"/>
  <c r="AP198" i="57"/>
  <c r="AP199" i="57" s="1"/>
  <c r="BE217" i="57"/>
  <c r="BE218" i="57" s="1"/>
  <c r="AP217" i="57"/>
  <c r="AP218" i="57" s="1"/>
  <c r="AN217" i="57"/>
  <c r="AN218" i="57" s="1"/>
  <c r="K217" i="57"/>
  <c r="K218" i="57" s="1"/>
  <c r="AM217" i="57"/>
  <c r="AM218" i="57" s="1"/>
  <c r="J217" i="57"/>
  <c r="J218" i="57" s="1"/>
  <c r="AS198" i="57"/>
  <c r="AS199" i="57" s="1"/>
  <c r="M198" i="57"/>
  <c r="M199" i="57" s="1"/>
  <c r="BH198" i="57"/>
  <c r="BH199" i="57" s="1"/>
  <c r="AQ198" i="57"/>
  <c r="AQ199" i="57" s="1"/>
  <c r="O198" i="57"/>
  <c r="O199" i="57" s="1"/>
  <c r="AR198" i="57"/>
  <c r="AR199" i="57" s="1"/>
  <c r="D250" i="57"/>
  <c r="L251" i="57" s="1"/>
  <c r="L252" i="57" s="1"/>
  <c r="AX230" i="57"/>
  <c r="AX231" i="57" s="1"/>
  <c r="AY230" i="57"/>
  <c r="AY231" i="57" s="1"/>
  <c r="M251" i="57"/>
  <c r="M252" i="57" s="1"/>
  <c r="M230" i="57"/>
  <c r="M231" i="57" s="1"/>
  <c r="O249" i="57"/>
  <c r="M259" i="57"/>
  <c r="O250" i="57"/>
  <c r="O251" i="57"/>
  <c r="N230" i="57"/>
  <c r="N232" i="57"/>
  <c r="N228" i="57"/>
  <c r="N229" i="57"/>
  <c r="M217" i="57"/>
  <c r="O104" i="57"/>
  <c r="X104" i="57"/>
  <c r="C108" i="57"/>
  <c r="C81" i="57"/>
  <c r="C97" i="57" s="1"/>
  <c r="C118" i="57" s="1"/>
  <c r="K176" i="56"/>
  <c r="K178" i="56"/>
  <c r="F60" i="56"/>
  <c r="S43" i="57" l="1"/>
  <c r="R43" i="57"/>
  <c r="I43" i="57" s="1"/>
  <c r="Z43" i="57"/>
  <c r="R31" i="57"/>
  <c r="I31" i="57" s="1"/>
  <c r="H31" i="57"/>
  <c r="J14" i="56"/>
  <c r="K14" i="56" s="1"/>
  <c r="Q14" i="56"/>
  <c r="Y14" i="56"/>
  <c r="AA17" i="56"/>
  <c r="S17" i="56"/>
  <c r="H17" i="56"/>
  <c r="I17" i="56" s="1"/>
  <c r="J16" i="56"/>
  <c r="K16" i="56" s="1"/>
  <c r="Q16" i="56"/>
  <c r="Y16" i="56"/>
  <c r="Q15" i="56"/>
  <c r="J15" i="56"/>
  <c r="K15" i="56" s="1"/>
  <c r="Y15" i="56"/>
  <c r="S42" i="57"/>
  <c r="P77" i="57"/>
  <c r="G77" i="57" s="1"/>
  <c r="G80" i="57" s="1"/>
  <c r="Q39" i="56"/>
  <c r="X39" i="56"/>
  <c r="Y25" i="57"/>
  <c r="G25" i="57"/>
  <c r="AA43" i="57"/>
  <c r="X70" i="56"/>
  <c r="Q70" i="56"/>
  <c r="AB43" i="57"/>
  <c r="AC43" i="57" s="1"/>
  <c r="AD43" i="57" s="1"/>
  <c r="J43" i="57"/>
  <c r="X65" i="56"/>
  <c r="Q65" i="56"/>
  <c r="X71" i="56"/>
  <c r="Q71" i="56"/>
  <c r="X64" i="56"/>
  <c r="Q64" i="56"/>
  <c r="Z27" i="57"/>
  <c r="Z56" i="57" s="1"/>
  <c r="H27" i="57"/>
  <c r="Z30" i="57"/>
  <c r="H30" i="57"/>
  <c r="Z64" i="57"/>
  <c r="H64" i="57"/>
  <c r="X68" i="56"/>
  <c r="Q68" i="56"/>
  <c r="P82" i="57"/>
  <c r="G82" i="57" s="1"/>
  <c r="G85" i="57" s="1"/>
  <c r="G36" i="57"/>
  <c r="AA64" i="57"/>
  <c r="I64" i="57"/>
  <c r="X66" i="56"/>
  <c r="Q66" i="56"/>
  <c r="X69" i="56"/>
  <c r="Q69" i="56"/>
  <c r="R30" i="57"/>
  <c r="S30" i="57" s="1"/>
  <c r="Y67" i="56"/>
  <c r="R67" i="56"/>
  <c r="J67" i="56" s="1"/>
  <c r="X63" i="56"/>
  <c r="Q63" i="56"/>
  <c r="Y26" i="57"/>
  <c r="G26" i="57"/>
  <c r="H88" i="56"/>
  <c r="R88" i="56"/>
  <c r="Z88" i="56" s="1"/>
  <c r="AB42" i="57"/>
  <c r="AC42" i="57" s="1"/>
  <c r="AD42" i="57" s="1"/>
  <c r="J42" i="57"/>
  <c r="X72" i="56"/>
  <c r="Q72" i="56"/>
  <c r="AA42" i="57"/>
  <c r="I42" i="57"/>
  <c r="V104" i="57"/>
  <c r="X96" i="57"/>
  <c r="R37" i="57"/>
  <c r="I37" i="57" s="1"/>
  <c r="Z37" i="57"/>
  <c r="R143" i="57"/>
  <c r="I143" i="57" s="1"/>
  <c r="Z143" i="57"/>
  <c r="Y87" i="57"/>
  <c r="R38" i="57"/>
  <c r="I38" i="57" s="1"/>
  <c r="Z38" i="57"/>
  <c r="Q144" i="57"/>
  <c r="H144" i="57" s="1"/>
  <c r="Y144" i="57"/>
  <c r="S44" i="57"/>
  <c r="J44" i="57" s="1"/>
  <c r="Z44" i="57"/>
  <c r="R44" i="57"/>
  <c r="I44" i="57" s="1"/>
  <c r="Z41" i="57"/>
  <c r="R41" i="57"/>
  <c r="S41" i="57"/>
  <c r="Q142" i="57"/>
  <c r="H142" i="57" s="1"/>
  <c r="Y142" i="57"/>
  <c r="Q35" i="57"/>
  <c r="H35" i="57" s="1"/>
  <c r="Y35" i="57"/>
  <c r="F77" i="57"/>
  <c r="F80" i="57" s="1"/>
  <c r="X77" i="57"/>
  <c r="AA31" i="57"/>
  <c r="Q36" i="57"/>
  <c r="Y36" i="57"/>
  <c r="R134" i="57"/>
  <c r="I134" i="57" s="1"/>
  <c r="Z134" i="57"/>
  <c r="R133" i="57"/>
  <c r="I133" i="57" s="1"/>
  <c r="Z133" i="57"/>
  <c r="Z48" i="57"/>
  <c r="N215" i="57"/>
  <c r="N216" i="57"/>
  <c r="Q109" i="57"/>
  <c r="H109" i="57" s="1"/>
  <c r="Q101" i="57"/>
  <c r="H101" i="57" s="1"/>
  <c r="Q197" i="57"/>
  <c r="R67" i="57"/>
  <c r="AA67" i="57" s="1"/>
  <c r="S64" i="57"/>
  <c r="Q68" i="57"/>
  <c r="Z68" i="57" s="1"/>
  <c r="Q86" i="57"/>
  <c r="H86" i="57" s="1"/>
  <c r="R27" i="57"/>
  <c r="Q69" i="57"/>
  <c r="Z69" i="57" s="1"/>
  <c r="Q56" i="57"/>
  <c r="H56" i="57" s="1"/>
  <c r="Q25" i="57"/>
  <c r="Q26" i="57"/>
  <c r="S31" i="57"/>
  <c r="AC31" i="57"/>
  <c r="Q70" i="57"/>
  <c r="Z70" i="57" s="1"/>
  <c r="Q87" i="57"/>
  <c r="H87" i="57" s="1"/>
  <c r="H90" i="57" s="1"/>
  <c r="H81" i="56"/>
  <c r="I68" i="56"/>
  <c r="H84" i="56"/>
  <c r="I71" i="56"/>
  <c r="H85" i="56"/>
  <c r="I72" i="56"/>
  <c r="H77" i="56"/>
  <c r="I64" i="56"/>
  <c r="H79" i="56"/>
  <c r="I66" i="56"/>
  <c r="H80" i="56"/>
  <c r="I67" i="56"/>
  <c r="H78" i="56"/>
  <c r="I65" i="56"/>
  <c r="H83" i="56"/>
  <c r="I70" i="56"/>
  <c r="H76" i="56"/>
  <c r="I63" i="56"/>
  <c r="E89" i="56"/>
  <c r="AA8" i="58"/>
  <c r="AB67" i="58"/>
  <c r="AB104" i="58" s="1"/>
  <c r="AB22" i="58"/>
  <c r="AB12" i="58" a="1"/>
  <c r="AB12" i="58" s="1"/>
  <c r="AB11" i="58" s="1"/>
  <c r="AB6" i="58"/>
  <c r="AC4" i="58"/>
  <c r="AB5" i="58"/>
  <c r="AB8" i="58" s="1"/>
  <c r="AB7" i="58"/>
  <c r="Z87" i="58"/>
  <c r="Z88" i="58"/>
  <c r="Z76" i="58"/>
  <c r="Z77" i="58"/>
  <c r="AB25" i="58"/>
  <c r="AP77" i="56"/>
  <c r="F36" i="56"/>
  <c r="F28" i="56"/>
  <c r="G28" i="56" s="1"/>
  <c r="P28" i="56" s="1"/>
  <c r="M14" i="56"/>
  <c r="L14" i="56"/>
  <c r="M218" i="57"/>
  <c r="Q198" i="57"/>
  <c r="O214" i="57"/>
  <c r="R197" i="57" s="1"/>
  <c r="N217" i="57"/>
  <c r="R17" i="56"/>
  <c r="U17" i="56"/>
  <c r="M17" i="56" s="1"/>
  <c r="V17" i="56"/>
  <c r="AD17" i="56"/>
  <c r="T17" i="56"/>
  <c r="L17" i="56" s="1"/>
  <c r="P17" i="56"/>
  <c r="AC17" i="56"/>
  <c r="X17" i="56"/>
  <c r="AB17" i="56"/>
  <c r="Z17" i="56"/>
  <c r="G18" i="56"/>
  <c r="F19" i="56"/>
  <c r="P199" i="57"/>
  <c r="N231" i="57"/>
  <c r="F30" i="56"/>
  <c r="G30" i="56" s="1"/>
  <c r="P30" i="56" s="1"/>
  <c r="F31" i="56"/>
  <c r="G31" i="56" s="1"/>
  <c r="P31" i="56" s="1"/>
  <c r="F32" i="56"/>
  <c r="G32" i="56" s="1"/>
  <c r="P32" i="56" s="1"/>
  <c r="F35" i="56"/>
  <c r="G35" i="56" s="1"/>
  <c r="P35" i="56" s="1"/>
  <c r="F33" i="56"/>
  <c r="G33" i="56" s="1"/>
  <c r="P33" i="56" s="1"/>
  <c r="F34" i="56"/>
  <c r="G34" i="56" s="1"/>
  <c r="P34" i="56" s="1"/>
  <c r="P110" i="56"/>
  <c r="N259" i="57"/>
  <c r="P249" i="57"/>
  <c r="O232" i="57"/>
  <c r="O228" i="57"/>
  <c r="P250" i="57"/>
  <c r="O229" i="57"/>
  <c r="O230" i="57"/>
  <c r="P251" i="57"/>
  <c r="F29" i="56"/>
  <c r="G29" i="56" s="1"/>
  <c r="P29" i="56" s="1"/>
  <c r="Q109" i="56"/>
  <c r="Q108" i="56"/>
  <c r="R106" i="56"/>
  <c r="Q107" i="56"/>
  <c r="O252" i="57"/>
  <c r="F40" i="56"/>
  <c r="T138" i="57"/>
  <c r="K138" i="57" s="1"/>
  <c r="Y77" i="57" l="1"/>
  <c r="Y82" i="57"/>
  <c r="J17" i="56"/>
  <c r="K17" i="56" s="1"/>
  <c r="Y17" i="56"/>
  <c r="Q17" i="56"/>
  <c r="AA18" i="56"/>
  <c r="H18" i="56"/>
  <c r="I18" i="56" s="1"/>
  <c r="S18" i="56"/>
  <c r="Q77" i="57"/>
  <c r="H77" i="57" s="1"/>
  <c r="H80" i="57" s="1"/>
  <c r="AB64" i="57"/>
  <c r="J64" i="57"/>
  <c r="X32" i="56"/>
  <c r="Q32" i="56"/>
  <c r="AB41" i="57"/>
  <c r="AC41" i="57" s="1"/>
  <c r="AD41" i="57" s="1"/>
  <c r="J41" i="57"/>
  <c r="Y63" i="56"/>
  <c r="R63" i="56"/>
  <c r="Y70" i="56"/>
  <c r="R70" i="56"/>
  <c r="AA41" i="57"/>
  <c r="I41" i="57"/>
  <c r="Y64" i="56"/>
  <c r="R64" i="56"/>
  <c r="Q29" i="56"/>
  <c r="X29" i="56"/>
  <c r="Q30" i="56"/>
  <c r="X30" i="56"/>
  <c r="AB31" i="57"/>
  <c r="AD31" i="57" s="1"/>
  <c r="J31" i="57"/>
  <c r="Q82" i="57"/>
  <c r="H82" i="57" s="1"/>
  <c r="H85" i="57" s="1"/>
  <c r="H36" i="57"/>
  <c r="Z67" i="56"/>
  <c r="AB67" i="56" s="1"/>
  <c r="S67" i="56"/>
  <c r="AA67" i="56" s="1"/>
  <c r="T67" i="56"/>
  <c r="Q34" i="56"/>
  <c r="X34" i="56"/>
  <c r="Q33" i="56"/>
  <c r="X33" i="56"/>
  <c r="Z25" i="57"/>
  <c r="Z54" i="57" s="1"/>
  <c r="H25" i="57"/>
  <c r="R72" i="56"/>
  <c r="Y72" i="56"/>
  <c r="R68" i="56"/>
  <c r="Y68" i="56"/>
  <c r="R71" i="56"/>
  <c r="Y71" i="56"/>
  <c r="Z26" i="57"/>
  <c r="Z55" i="57" s="1"/>
  <c r="H26" i="57"/>
  <c r="AA30" i="57"/>
  <c r="I30" i="57"/>
  <c r="AB30" i="57"/>
  <c r="J30" i="57"/>
  <c r="Y69" i="56"/>
  <c r="R69" i="56"/>
  <c r="R66" i="56"/>
  <c r="Y66" i="56"/>
  <c r="X35" i="56"/>
  <c r="Q35" i="56"/>
  <c r="Q28" i="56"/>
  <c r="X28" i="56"/>
  <c r="AA27" i="57"/>
  <c r="I27" i="57"/>
  <c r="Y65" i="56"/>
  <c r="R65" i="56"/>
  <c r="X31" i="56"/>
  <c r="Q31" i="56"/>
  <c r="R39" i="56"/>
  <c r="Y39" i="56"/>
  <c r="Q40" i="56"/>
  <c r="Y40" i="56" s="1"/>
  <c r="AE42" i="57"/>
  <c r="H48" i="57"/>
  <c r="R48" i="57" s="1"/>
  <c r="AE43" i="57"/>
  <c r="S143" i="57"/>
  <c r="J143" i="57" s="1"/>
  <c r="AA143" i="57"/>
  <c r="AC143" i="57" s="1"/>
  <c r="AD143" i="57" s="1"/>
  <c r="AE143" i="57" s="1"/>
  <c r="S134" i="57"/>
  <c r="J134" i="57" s="1"/>
  <c r="AA134" i="57"/>
  <c r="AC134" i="57" s="1"/>
  <c r="Z101" i="57"/>
  <c r="AA44" i="57"/>
  <c r="Z87" i="57"/>
  <c r="Z86" i="57"/>
  <c r="R35" i="57"/>
  <c r="I35" i="57" s="1"/>
  <c r="Z35" i="57"/>
  <c r="AB44" i="57"/>
  <c r="AC44" i="57" s="1"/>
  <c r="AD44" i="57" s="1"/>
  <c r="AE44" i="57" s="1"/>
  <c r="T44" i="57"/>
  <c r="K44" i="57" s="1"/>
  <c r="S37" i="57"/>
  <c r="J37" i="57" s="1"/>
  <c r="AA37" i="57"/>
  <c r="AC37" i="57" s="1"/>
  <c r="R142" i="57"/>
  <c r="I142" i="57" s="1"/>
  <c r="Z142" i="57"/>
  <c r="R144" i="57"/>
  <c r="I144" i="57" s="1"/>
  <c r="Z144" i="57"/>
  <c r="Z109" i="57"/>
  <c r="AE31" i="57"/>
  <c r="R36" i="57"/>
  <c r="I36" i="57" s="1"/>
  <c r="Z36" i="57"/>
  <c r="S133" i="57"/>
  <c r="J133" i="57" s="1"/>
  <c r="AA133" i="57"/>
  <c r="S38" i="57"/>
  <c r="J38" i="57" s="1"/>
  <c r="AA38" i="57"/>
  <c r="AC38" i="57" s="1"/>
  <c r="T42" i="57"/>
  <c r="K42" i="57" s="1"/>
  <c r="Q199" i="57"/>
  <c r="R101" i="57"/>
  <c r="I101" i="57" s="1"/>
  <c r="Q97" i="57"/>
  <c r="H97" i="57" s="1"/>
  <c r="Q108" i="57"/>
  <c r="H108" i="57" s="1"/>
  <c r="Q107" i="57"/>
  <c r="Q93" i="57"/>
  <c r="H93" i="57" s="1"/>
  <c r="N218" i="57"/>
  <c r="T43" i="57"/>
  <c r="K43" i="57" s="1"/>
  <c r="R70" i="57"/>
  <c r="AA70" i="57" s="1"/>
  <c r="R68" i="57"/>
  <c r="AA68" i="57" s="1"/>
  <c r="T30" i="57"/>
  <c r="T31" i="57"/>
  <c r="K31" i="57" s="1"/>
  <c r="S27" i="57"/>
  <c r="R86" i="57"/>
  <c r="I86" i="57" s="1"/>
  <c r="R69" i="57"/>
  <c r="AA69" i="57" s="1"/>
  <c r="T64" i="57"/>
  <c r="K64" i="57" s="1"/>
  <c r="Q75" i="57"/>
  <c r="H75" i="57" s="1"/>
  <c r="R25" i="57"/>
  <c r="Q54" i="57"/>
  <c r="H54" i="57" s="1"/>
  <c r="R26" i="57"/>
  <c r="I26" i="57" s="1"/>
  <c r="Q81" i="57"/>
  <c r="H81" i="57" s="1"/>
  <c r="Q55" i="57"/>
  <c r="H55" i="57" s="1"/>
  <c r="S67" i="57"/>
  <c r="AB67" i="57" s="1"/>
  <c r="AA76" i="58"/>
  <c r="AA77" i="58"/>
  <c r="AA87" i="58"/>
  <c r="AA88" i="58"/>
  <c r="AB88" i="58"/>
  <c r="AB87" i="58"/>
  <c r="AB76" i="58"/>
  <c r="AB77" i="58"/>
  <c r="AC67" i="58"/>
  <c r="AC104" i="58" s="1"/>
  <c r="AC7" i="58"/>
  <c r="AC5" i="58"/>
  <c r="AC6" i="58"/>
  <c r="AD4" i="58"/>
  <c r="AC12" i="58" a="1"/>
  <c r="AC12" i="58" s="1"/>
  <c r="AC11" i="58" s="1"/>
  <c r="AC22" i="58"/>
  <c r="AC25" i="58"/>
  <c r="H28" i="56"/>
  <c r="I28" i="56" s="1"/>
  <c r="J28" i="56" s="1"/>
  <c r="N17" i="56"/>
  <c r="R198" i="57"/>
  <c r="O217" i="57"/>
  <c r="O215" i="57"/>
  <c r="O216" i="57"/>
  <c r="P214" i="57"/>
  <c r="S197" i="57" s="1"/>
  <c r="R196" i="57"/>
  <c r="U18" i="56"/>
  <c r="T18" i="56"/>
  <c r="AD18" i="56"/>
  <c r="AC18" i="56"/>
  <c r="AB18" i="56"/>
  <c r="R18" i="56"/>
  <c r="Z18" i="56"/>
  <c r="X18" i="56"/>
  <c r="V18" i="56"/>
  <c r="P18" i="56"/>
  <c r="F20" i="56"/>
  <c r="G19" i="56"/>
  <c r="G36" i="56"/>
  <c r="O259" i="57"/>
  <c r="Q250" i="57"/>
  <c r="Q251" i="57"/>
  <c r="P230" i="57"/>
  <c r="Q249" i="57"/>
  <c r="P232" i="57"/>
  <c r="P228" i="57"/>
  <c r="P229" i="57"/>
  <c r="U138" i="57"/>
  <c r="L138" i="57" s="1"/>
  <c r="P252" i="57"/>
  <c r="H34" i="56"/>
  <c r="I34" i="56" s="1"/>
  <c r="O231" i="57"/>
  <c r="H33" i="56"/>
  <c r="I33" i="56" s="1"/>
  <c r="Q110" i="56"/>
  <c r="H35" i="56"/>
  <c r="I35" i="56" s="1"/>
  <c r="S106" i="56"/>
  <c r="R109" i="56"/>
  <c r="R107" i="56"/>
  <c r="R108" i="56"/>
  <c r="H32" i="56"/>
  <c r="I32" i="56" s="1"/>
  <c r="H31" i="56"/>
  <c r="I31" i="56" s="1"/>
  <c r="H29" i="56"/>
  <c r="I29" i="56" s="1"/>
  <c r="H30" i="56"/>
  <c r="I30" i="56" s="1"/>
  <c r="Z77" i="57" l="1"/>
  <c r="J18" i="56"/>
  <c r="K18" i="56" s="1"/>
  <c r="Y18" i="56"/>
  <c r="Q18" i="56"/>
  <c r="S19" i="56"/>
  <c r="H19" i="56"/>
  <c r="I19" i="56" s="1"/>
  <c r="AA19" i="56"/>
  <c r="Z82" i="57"/>
  <c r="R31" i="56"/>
  <c r="Y31" i="56"/>
  <c r="Z70" i="56"/>
  <c r="AB70" i="56" s="1"/>
  <c r="S70" i="56"/>
  <c r="AA70" i="56" s="1"/>
  <c r="J70" i="56"/>
  <c r="T70" i="56"/>
  <c r="R77" i="57"/>
  <c r="I77" i="57" s="1"/>
  <c r="Z65" i="56"/>
  <c r="AB65" i="56" s="1"/>
  <c r="S65" i="56"/>
  <c r="AA65" i="56" s="1"/>
  <c r="J65" i="56"/>
  <c r="T65" i="56"/>
  <c r="S72" i="56"/>
  <c r="AA72" i="56" s="1"/>
  <c r="T72" i="56"/>
  <c r="Z72" i="56"/>
  <c r="AB72" i="56" s="1"/>
  <c r="J72" i="56"/>
  <c r="S39" i="56"/>
  <c r="Z39" i="56"/>
  <c r="S68" i="56"/>
  <c r="AA68" i="56" s="1"/>
  <c r="Z68" i="56"/>
  <c r="AB68" i="56" s="1"/>
  <c r="J68" i="56"/>
  <c r="T68" i="56"/>
  <c r="Z63" i="56"/>
  <c r="AB63" i="56" s="1"/>
  <c r="S63" i="56"/>
  <c r="AA63" i="56" s="1"/>
  <c r="J63" i="56"/>
  <c r="T63" i="56"/>
  <c r="AB27" i="57"/>
  <c r="J27" i="57"/>
  <c r="S66" i="56"/>
  <c r="AA66" i="56" s="1"/>
  <c r="Z66" i="56"/>
  <c r="AB66" i="56" s="1"/>
  <c r="J66" i="56"/>
  <c r="T66" i="56"/>
  <c r="R30" i="56"/>
  <c r="Y30" i="56"/>
  <c r="R33" i="56"/>
  <c r="Y33" i="56"/>
  <c r="AA25" i="57"/>
  <c r="AA54" i="57" s="1"/>
  <c r="I25" i="57"/>
  <c r="R29" i="56"/>
  <c r="Y29" i="56"/>
  <c r="R32" i="56"/>
  <c r="Y32" i="56"/>
  <c r="Z71" i="56"/>
  <c r="AB71" i="56" s="1"/>
  <c r="S71" i="56"/>
  <c r="AA71" i="56" s="1"/>
  <c r="T71" i="56"/>
  <c r="J71" i="56"/>
  <c r="S69" i="56"/>
  <c r="AA69" i="56" s="1"/>
  <c r="Z69" i="56"/>
  <c r="AB69" i="56" s="1"/>
  <c r="T69" i="56"/>
  <c r="J69" i="56"/>
  <c r="Z107" i="57"/>
  <c r="H107" i="57"/>
  <c r="R28" i="56"/>
  <c r="Y28" i="56"/>
  <c r="Q36" i="56"/>
  <c r="R34" i="56"/>
  <c r="Y34" i="56"/>
  <c r="Z64" i="56"/>
  <c r="AB64" i="56" s="1"/>
  <c r="S64" i="56"/>
  <c r="AA64" i="56" s="1"/>
  <c r="J64" i="56"/>
  <c r="T64" i="56"/>
  <c r="X36" i="56"/>
  <c r="P36" i="56"/>
  <c r="L67" i="56"/>
  <c r="AC67" i="56"/>
  <c r="AD67" i="56"/>
  <c r="R35" i="56"/>
  <c r="Y35" i="56"/>
  <c r="V67" i="56"/>
  <c r="K67" i="56"/>
  <c r="U67" i="56"/>
  <c r="AA48" i="57"/>
  <c r="AD38" i="57"/>
  <c r="AE41" i="57"/>
  <c r="AD37" i="57"/>
  <c r="S196" i="57"/>
  <c r="Z93" i="57"/>
  <c r="AB38" i="57"/>
  <c r="T38" i="57"/>
  <c r="K38" i="57" s="1"/>
  <c r="Z75" i="57"/>
  <c r="U44" i="57"/>
  <c r="L44" i="57" s="1"/>
  <c r="Z108" i="57"/>
  <c r="S144" i="57"/>
  <c r="J144" i="57" s="1"/>
  <c r="AA144" i="57"/>
  <c r="AC144" i="57" s="1"/>
  <c r="Z97" i="57"/>
  <c r="T133" i="57"/>
  <c r="AB133" i="57"/>
  <c r="AC132" i="57"/>
  <c r="AD134" i="57"/>
  <c r="S35" i="57"/>
  <c r="J35" i="57" s="1"/>
  <c r="AA35" i="57"/>
  <c r="AC35" i="57" s="1"/>
  <c r="AA86" i="57"/>
  <c r="AA142" i="57"/>
  <c r="AC142" i="57" s="1"/>
  <c r="S142" i="57"/>
  <c r="J142" i="57" s="1"/>
  <c r="S36" i="57"/>
  <c r="AA36" i="57"/>
  <c r="AC36" i="57" s="1"/>
  <c r="T143" i="57"/>
  <c r="K143" i="57" s="1"/>
  <c r="AB143" i="57"/>
  <c r="AA101" i="57"/>
  <c r="T134" i="57"/>
  <c r="AB134" i="57"/>
  <c r="Z81" i="57"/>
  <c r="R82" i="57"/>
  <c r="I82" i="57" s="1"/>
  <c r="I85" i="57" s="1"/>
  <c r="R55" i="57"/>
  <c r="I55" i="57" s="1"/>
  <c r="AA26" i="57"/>
  <c r="AA55" i="57" s="1"/>
  <c r="AB37" i="57"/>
  <c r="T37" i="57"/>
  <c r="K37" i="57" s="1"/>
  <c r="S101" i="57"/>
  <c r="J101" i="57" s="1"/>
  <c r="R108" i="57"/>
  <c r="I108" i="57" s="1"/>
  <c r="R97" i="57"/>
  <c r="I97" i="57" s="1"/>
  <c r="U43" i="57"/>
  <c r="L43" i="57" s="1"/>
  <c r="R107" i="57"/>
  <c r="R93" i="57"/>
  <c r="I93" i="57" s="1"/>
  <c r="T67" i="57"/>
  <c r="T27" i="57"/>
  <c r="S86" i="57"/>
  <c r="J86" i="57" s="1"/>
  <c r="U42" i="57"/>
  <c r="L42" i="57" s="1"/>
  <c r="S70" i="57"/>
  <c r="AB70" i="57" s="1"/>
  <c r="U31" i="57"/>
  <c r="L31" i="57" s="1"/>
  <c r="U30" i="57"/>
  <c r="U64" i="57"/>
  <c r="L64" i="57" s="1"/>
  <c r="S26" i="57"/>
  <c r="R81" i="57"/>
  <c r="I81" i="57" s="1"/>
  <c r="S69" i="57"/>
  <c r="AB69" i="57" s="1"/>
  <c r="S68" i="57"/>
  <c r="AB68" i="57" s="1"/>
  <c r="R75" i="57"/>
  <c r="I75" i="57" s="1"/>
  <c r="S25" i="57"/>
  <c r="R54" i="57"/>
  <c r="I54" i="57" s="1"/>
  <c r="T41" i="57"/>
  <c r="K41" i="57" s="1"/>
  <c r="Q214" i="57"/>
  <c r="T197" i="57" s="1"/>
  <c r="S198" i="57"/>
  <c r="S199" i="57" s="1"/>
  <c r="J34" i="56"/>
  <c r="K34" i="56" s="1"/>
  <c r="I36" i="56"/>
  <c r="J29" i="56"/>
  <c r="K29" i="56" s="1"/>
  <c r="K28" i="56"/>
  <c r="J33" i="56"/>
  <c r="K33" i="56" s="1"/>
  <c r="J35" i="56"/>
  <c r="K35" i="56" s="1"/>
  <c r="J31" i="56"/>
  <c r="K31" i="56" s="1"/>
  <c r="J32" i="56"/>
  <c r="K32" i="56" s="1"/>
  <c r="J30" i="56"/>
  <c r="K30" i="56" s="1"/>
  <c r="R199" i="57"/>
  <c r="O218" i="57"/>
  <c r="AD7" i="58"/>
  <c r="AD12" i="58" a="1"/>
  <c r="AD12" i="58" s="1"/>
  <c r="AD11" i="58" s="1"/>
  <c r="AD5" i="58"/>
  <c r="AD67" i="58"/>
  <c r="AD104" i="58" s="1"/>
  <c r="AD6" i="58"/>
  <c r="AD22" i="58"/>
  <c r="AD25" i="58" s="1"/>
  <c r="AE4" i="58"/>
  <c r="AC8" i="58"/>
  <c r="L18" i="56"/>
  <c r="M18" i="56"/>
  <c r="N18" i="56"/>
  <c r="P215" i="57"/>
  <c r="P216" i="57"/>
  <c r="P217" i="57"/>
  <c r="G20" i="56"/>
  <c r="F21" i="56"/>
  <c r="X19" i="56"/>
  <c r="V19" i="56"/>
  <c r="T19" i="56"/>
  <c r="AD19" i="56"/>
  <c r="Z19" i="56"/>
  <c r="AC19" i="56"/>
  <c r="AB19" i="56"/>
  <c r="U19" i="56"/>
  <c r="M19" i="56" s="1"/>
  <c r="R19" i="56"/>
  <c r="P19" i="56"/>
  <c r="H36" i="56"/>
  <c r="S109" i="56"/>
  <c r="S107" i="56"/>
  <c r="S108" i="56"/>
  <c r="T106" i="56"/>
  <c r="P231" i="57"/>
  <c r="R251" i="57"/>
  <c r="R249" i="57"/>
  <c r="Q229" i="57"/>
  <c r="R250" i="57"/>
  <c r="P259" i="57"/>
  <c r="Q232" i="57"/>
  <c r="Q230" i="57"/>
  <c r="Q228" i="57"/>
  <c r="R110" i="56"/>
  <c r="V138" i="57"/>
  <c r="M138" i="57" s="1"/>
  <c r="Q252" i="57"/>
  <c r="AA20" i="56" l="1"/>
  <c r="H20" i="56"/>
  <c r="I20" i="56" s="1"/>
  <c r="S20" i="56"/>
  <c r="T198" i="57"/>
  <c r="Y36" i="56"/>
  <c r="T28" i="56"/>
  <c r="S28" i="56"/>
  <c r="Z28" i="56"/>
  <c r="AB28" i="56" s="1"/>
  <c r="AC28" i="56" s="1"/>
  <c r="AD28" i="56" s="1"/>
  <c r="AD63" i="56"/>
  <c r="AC63" i="56"/>
  <c r="K65" i="56"/>
  <c r="L65" i="56"/>
  <c r="V65" i="56"/>
  <c r="N65" i="56" s="1"/>
  <c r="U65" i="56"/>
  <c r="M65" i="56" s="1"/>
  <c r="V64" i="56"/>
  <c r="N64" i="56" s="1"/>
  <c r="U64" i="56"/>
  <c r="M64" i="56" s="1"/>
  <c r="L64" i="56"/>
  <c r="K64" i="56"/>
  <c r="Z32" i="56"/>
  <c r="S32" i="56"/>
  <c r="Z30" i="56"/>
  <c r="AB30" i="56" s="1"/>
  <c r="AC30" i="56" s="1"/>
  <c r="AD30" i="56" s="1"/>
  <c r="S30" i="56"/>
  <c r="AD65" i="56"/>
  <c r="AC65" i="56"/>
  <c r="V68" i="56"/>
  <c r="N68" i="56" s="1"/>
  <c r="U68" i="56"/>
  <c r="M68" i="56" s="1"/>
  <c r="K68" i="56"/>
  <c r="L68" i="56"/>
  <c r="K66" i="56"/>
  <c r="V66" i="56"/>
  <c r="N66" i="56" s="1"/>
  <c r="U66" i="56"/>
  <c r="M66" i="56" s="1"/>
  <c r="L66" i="56"/>
  <c r="AC68" i="56"/>
  <c r="AD68" i="56"/>
  <c r="AD71" i="56"/>
  <c r="AC71" i="56"/>
  <c r="U69" i="56"/>
  <c r="M69" i="56" s="1"/>
  <c r="K69" i="56"/>
  <c r="L69" i="56"/>
  <c r="V69" i="56"/>
  <c r="N69" i="56" s="1"/>
  <c r="K70" i="56"/>
  <c r="L70" i="56"/>
  <c r="V70" i="56"/>
  <c r="N70" i="56" s="1"/>
  <c r="U70" i="56"/>
  <c r="M70" i="56" s="1"/>
  <c r="AB26" i="57"/>
  <c r="AB55" i="57" s="1"/>
  <c r="J26" i="57"/>
  <c r="AD64" i="56"/>
  <c r="AC64" i="56"/>
  <c r="AC69" i="56"/>
  <c r="AD69" i="56"/>
  <c r="Z29" i="56"/>
  <c r="AB29" i="56" s="1"/>
  <c r="AC29" i="56" s="1"/>
  <c r="AD29" i="56" s="1"/>
  <c r="S29" i="56"/>
  <c r="AD66" i="56"/>
  <c r="AC66" i="56"/>
  <c r="S33" i="56"/>
  <c r="Z33" i="56"/>
  <c r="Z35" i="56"/>
  <c r="AB35" i="56" s="1"/>
  <c r="AC35" i="56" s="1"/>
  <c r="AD35" i="56" s="1"/>
  <c r="S35" i="56"/>
  <c r="S40" i="56"/>
  <c r="AA40" i="56" s="1"/>
  <c r="AA39" i="56"/>
  <c r="AB25" i="57"/>
  <c r="AB54" i="57" s="1"/>
  <c r="J25" i="57"/>
  <c r="AC70" i="56"/>
  <c r="AD70" i="56"/>
  <c r="Z34" i="56"/>
  <c r="AB34" i="56" s="1"/>
  <c r="AC34" i="56" s="1"/>
  <c r="AD34" i="56" s="1"/>
  <c r="S34" i="56"/>
  <c r="AD72" i="56"/>
  <c r="AC72" i="56"/>
  <c r="U134" i="57"/>
  <c r="K134" i="57"/>
  <c r="AA77" i="57"/>
  <c r="S82" i="57"/>
  <c r="J82" i="57" s="1"/>
  <c r="J85" i="57" s="1"/>
  <c r="J36" i="57"/>
  <c r="N67" i="56"/>
  <c r="V71" i="56"/>
  <c r="N71" i="56" s="1"/>
  <c r="K71" i="56"/>
  <c r="L71" i="56"/>
  <c r="U71" i="56"/>
  <c r="M71" i="56" s="1"/>
  <c r="K63" i="56"/>
  <c r="L63" i="56"/>
  <c r="V63" i="56"/>
  <c r="N63" i="56" s="1"/>
  <c r="U63" i="56"/>
  <c r="M63" i="56" s="1"/>
  <c r="L72" i="56"/>
  <c r="U72" i="56"/>
  <c r="M72" i="56" s="1"/>
  <c r="K72" i="56"/>
  <c r="V72" i="56"/>
  <c r="N72" i="56" s="1"/>
  <c r="AA107" i="57"/>
  <c r="I107" i="57"/>
  <c r="U133" i="57"/>
  <c r="L133" i="57" s="1"/>
  <c r="K133" i="57"/>
  <c r="M67" i="56"/>
  <c r="Z31" i="56"/>
  <c r="AB31" i="56" s="1"/>
  <c r="AC31" i="56" s="1"/>
  <c r="AD31" i="56" s="1"/>
  <c r="S31" i="56"/>
  <c r="J19" i="56"/>
  <c r="K19" i="56" s="1"/>
  <c r="Y19" i="56"/>
  <c r="Q19" i="56"/>
  <c r="AD36" i="57"/>
  <c r="AD142" i="57"/>
  <c r="AE38" i="57"/>
  <c r="AE37" i="57"/>
  <c r="AD144" i="57"/>
  <c r="AD35" i="57"/>
  <c r="I48" i="57"/>
  <c r="S48" i="57" s="1"/>
  <c r="AA97" i="57"/>
  <c r="AE134" i="57"/>
  <c r="AE132" i="57" s="1"/>
  <c r="AD132" i="57"/>
  <c r="AB35" i="57"/>
  <c r="T35" i="57"/>
  <c r="K35" i="57" s="1"/>
  <c r="AB101" i="57"/>
  <c r="AA82" i="57"/>
  <c r="AB36" i="57"/>
  <c r="T36" i="57"/>
  <c r="T82" i="57" s="1"/>
  <c r="V44" i="57"/>
  <c r="M44" i="57" s="1"/>
  <c r="AB86" i="57"/>
  <c r="AB142" i="57"/>
  <c r="T142" i="57"/>
  <c r="K142" i="57" s="1"/>
  <c r="AA81" i="57"/>
  <c r="U38" i="57"/>
  <c r="L38" i="57" s="1"/>
  <c r="U143" i="57"/>
  <c r="L143" i="57" s="1"/>
  <c r="S77" i="57"/>
  <c r="J77" i="57" s="1"/>
  <c r="AA93" i="57"/>
  <c r="T144" i="57"/>
  <c r="K144" i="57" s="1"/>
  <c r="AB144" i="57"/>
  <c r="U37" i="57"/>
  <c r="L37" i="57" s="1"/>
  <c r="AA75" i="57"/>
  <c r="AA108" i="57"/>
  <c r="S93" i="57"/>
  <c r="J93" i="57" s="1"/>
  <c r="S107" i="57"/>
  <c r="S97" i="57"/>
  <c r="J97" i="57" s="1"/>
  <c r="S108" i="57"/>
  <c r="J108" i="57" s="1"/>
  <c r="V43" i="57"/>
  <c r="M43" i="57" s="1"/>
  <c r="Q216" i="57"/>
  <c r="Q215" i="57"/>
  <c r="Q217" i="57"/>
  <c r="R214" i="57"/>
  <c r="U196" i="57" s="1"/>
  <c r="T196" i="57"/>
  <c r="T199" i="57" s="1"/>
  <c r="U67" i="57"/>
  <c r="T69" i="57"/>
  <c r="V30" i="57"/>
  <c r="T70" i="57"/>
  <c r="T26" i="57"/>
  <c r="S81" i="57"/>
  <c r="J81" i="57" s="1"/>
  <c r="S55" i="57"/>
  <c r="J55" i="57" s="1"/>
  <c r="T25" i="57"/>
  <c r="K25" i="57" s="1"/>
  <c r="S75" i="57"/>
  <c r="J75" i="57" s="1"/>
  <c r="S54" i="57"/>
  <c r="J54" i="57" s="1"/>
  <c r="V42" i="57"/>
  <c r="M42" i="57" s="1"/>
  <c r="V31" i="57"/>
  <c r="M31" i="57" s="1"/>
  <c r="U27" i="57"/>
  <c r="U41" i="57"/>
  <c r="L41" i="57" s="1"/>
  <c r="T68" i="57"/>
  <c r="V64" i="57"/>
  <c r="M64" i="57" s="1"/>
  <c r="J36" i="56"/>
  <c r="K36" i="56"/>
  <c r="P218" i="57"/>
  <c r="AD8" i="58"/>
  <c r="AC88" i="58"/>
  <c r="AC76" i="58"/>
  <c r="AC77" i="58"/>
  <c r="AC87" i="58"/>
  <c r="AE67" i="58"/>
  <c r="AE104" i="58" s="1"/>
  <c r="AE22" i="58"/>
  <c r="AE25" i="58" s="1"/>
  <c r="AE12" i="58" a="1"/>
  <c r="AE12" i="58" s="1"/>
  <c r="AE11" i="58" s="1"/>
  <c r="AE7" i="58"/>
  <c r="AE6" i="58"/>
  <c r="AF4" i="58"/>
  <c r="AE5" i="58"/>
  <c r="AE8" i="58" s="1"/>
  <c r="L19" i="56"/>
  <c r="N19" i="56"/>
  <c r="F22" i="56"/>
  <c r="G21" i="56"/>
  <c r="T20" i="56"/>
  <c r="L20" i="56" s="1"/>
  <c r="V20" i="56"/>
  <c r="N20" i="56" s="1"/>
  <c r="AC20" i="56"/>
  <c r="R20" i="56"/>
  <c r="Z20" i="56"/>
  <c r="AD20" i="56"/>
  <c r="X20" i="56"/>
  <c r="AB20" i="56"/>
  <c r="U20" i="56"/>
  <c r="M20" i="56" s="1"/>
  <c r="P20" i="56"/>
  <c r="S110" i="56"/>
  <c r="U197" i="57"/>
  <c r="R36" i="56"/>
  <c r="T30" i="56"/>
  <c r="T29" i="56"/>
  <c r="Q231" i="57"/>
  <c r="T34" i="56"/>
  <c r="T31" i="56"/>
  <c r="T32" i="56"/>
  <c r="AB33" i="56"/>
  <c r="AC33" i="56" s="1"/>
  <c r="AD33" i="56" s="1"/>
  <c r="T35" i="56"/>
  <c r="T107" i="56"/>
  <c r="T108" i="56"/>
  <c r="U106" i="56"/>
  <c r="T109" i="56"/>
  <c r="Q259" i="57"/>
  <c r="S250" i="57"/>
  <c r="S251" i="57"/>
  <c r="S249" i="57"/>
  <c r="R230" i="57"/>
  <c r="R232" i="57"/>
  <c r="R228" i="57"/>
  <c r="R229" i="57"/>
  <c r="R252" i="57"/>
  <c r="V28" i="56"/>
  <c r="U28" i="56"/>
  <c r="AB32" i="56"/>
  <c r="AC32" i="56" s="1"/>
  <c r="AD32" i="56" s="1"/>
  <c r="T33" i="56"/>
  <c r="L28" i="56" l="1"/>
  <c r="H21" i="56"/>
  <c r="I21" i="56" s="1"/>
  <c r="AA21" i="56"/>
  <c r="S21" i="56"/>
  <c r="J20" i="56"/>
  <c r="K20" i="56" s="1"/>
  <c r="Q20" i="56"/>
  <c r="Y20" i="56"/>
  <c r="K36" i="57"/>
  <c r="AB82" i="57"/>
  <c r="V133" i="57"/>
  <c r="M133" i="57" s="1"/>
  <c r="Z36" i="56"/>
  <c r="AA31" i="56"/>
  <c r="AA35" i="56"/>
  <c r="AA30" i="56"/>
  <c r="V134" i="57"/>
  <c r="M134" i="57" s="1"/>
  <c r="L134" i="57"/>
  <c r="AA32" i="56"/>
  <c r="AB107" i="57"/>
  <c r="J107" i="57"/>
  <c r="AA33" i="56"/>
  <c r="S36" i="56"/>
  <c r="AA28" i="56"/>
  <c r="AA29" i="56"/>
  <c r="AA34" i="56"/>
  <c r="AE144" i="57"/>
  <c r="AE35" i="57"/>
  <c r="AE142" i="57"/>
  <c r="AB48" i="57"/>
  <c r="AC48" i="57" s="1"/>
  <c r="AE36" i="57"/>
  <c r="L36" i="57"/>
  <c r="U142" i="57"/>
  <c r="L142" i="57" s="1"/>
  <c r="U35" i="57"/>
  <c r="L35" i="57" s="1"/>
  <c r="AB75" i="57"/>
  <c r="AB93" i="57"/>
  <c r="AB77" i="57"/>
  <c r="T77" i="57"/>
  <c r="U144" i="57"/>
  <c r="L144" i="57" s="1"/>
  <c r="AB81" i="57"/>
  <c r="V143" i="57"/>
  <c r="M143" i="57" s="1"/>
  <c r="U36" i="57"/>
  <c r="V38" i="57"/>
  <c r="M38" i="57" s="1"/>
  <c r="AB108" i="57"/>
  <c r="V37" i="57"/>
  <c r="M37" i="57" s="1"/>
  <c r="AB97" i="57"/>
  <c r="R216" i="57"/>
  <c r="U198" i="57"/>
  <c r="U199" i="57" s="1"/>
  <c r="Q218" i="57"/>
  <c r="R217" i="57"/>
  <c r="S214" i="57"/>
  <c r="V196" i="57" s="1"/>
  <c r="R215" i="57"/>
  <c r="U70" i="57"/>
  <c r="U68" i="57"/>
  <c r="U25" i="57"/>
  <c r="L25" i="57" s="1"/>
  <c r="U69" i="57"/>
  <c r="V41" i="57"/>
  <c r="M41" i="57" s="1"/>
  <c r="V27" i="57"/>
  <c r="U26" i="57"/>
  <c r="V67" i="57"/>
  <c r="AF22" i="58"/>
  <c r="AF25" i="58" s="1"/>
  <c r="AF5" i="58"/>
  <c r="AF67" i="58"/>
  <c r="AF104" i="58" s="1"/>
  <c r="AG4" i="58"/>
  <c r="AF6" i="58"/>
  <c r="AF12" i="58" a="1"/>
  <c r="AF12" i="58" s="1"/>
  <c r="AF11" i="58" s="1"/>
  <c r="AF7" i="58"/>
  <c r="AD87" i="58"/>
  <c r="AE87" i="58" s="1"/>
  <c r="AD76" i="58"/>
  <c r="AE76" i="58" s="1"/>
  <c r="AD88" i="58"/>
  <c r="AE88" i="58" s="1"/>
  <c r="AD77" i="58"/>
  <c r="AE77" i="58" s="1"/>
  <c r="AD21" i="56"/>
  <c r="X21" i="56"/>
  <c r="V21" i="56"/>
  <c r="N21" i="56" s="1"/>
  <c r="R21" i="56"/>
  <c r="P21" i="56"/>
  <c r="AC21" i="56"/>
  <c r="Z21" i="56"/>
  <c r="AB21" i="56"/>
  <c r="U21" i="56"/>
  <c r="M21" i="56" s="1"/>
  <c r="T21" i="56"/>
  <c r="G22" i="56"/>
  <c r="H22" i="56" s="1"/>
  <c r="I22" i="56" s="1"/>
  <c r="F23" i="56"/>
  <c r="R231" i="57"/>
  <c r="S252" i="57"/>
  <c r="T36" i="56"/>
  <c r="V34" i="56"/>
  <c r="U34" i="56"/>
  <c r="L34" i="56"/>
  <c r="U30" i="56"/>
  <c r="V30" i="56"/>
  <c r="L30" i="56"/>
  <c r="V31" i="56"/>
  <c r="U31" i="56"/>
  <c r="L31" i="56"/>
  <c r="U109" i="56"/>
  <c r="U108" i="56"/>
  <c r="V106" i="56"/>
  <c r="U107" i="56"/>
  <c r="N28" i="56"/>
  <c r="T110" i="56"/>
  <c r="T251" i="57"/>
  <c r="T249" i="57"/>
  <c r="R259" i="57"/>
  <c r="S229" i="57"/>
  <c r="T250" i="57"/>
  <c r="S232" i="57"/>
  <c r="S228" i="57"/>
  <c r="S230" i="57"/>
  <c r="AB36" i="56"/>
  <c r="V32" i="56"/>
  <c r="U32" i="56"/>
  <c r="L32" i="56"/>
  <c r="V35" i="56"/>
  <c r="U35" i="56"/>
  <c r="L35" i="56"/>
  <c r="M28" i="56"/>
  <c r="V33" i="56"/>
  <c r="U33" i="56"/>
  <c r="L33" i="56"/>
  <c r="V29" i="56"/>
  <c r="U29" i="56"/>
  <c r="L29" i="56"/>
  <c r="Y22" i="56" l="1"/>
  <c r="AA22" i="56" s="1"/>
  <c r="J22" i="56"/>
  <c r="K22" i="56" s="1"/>
  <c r="Q22" i="56"/>
  <c r="S22" i="56" s="1"/>
  <c r="Q21" i="56"/>
  <c r="J21" i="56"/>
  <c r="K21" i="56" s="1"/>
  <c r="Y21" i="56"/>
  <c r="U77" i="57"/>
  <c r="AA36" i="56"/>
  <c r="J48" i="57"/>
  <c r="T48" i="57" s="1"/>
  <c r="K48" i="57" s="1"/>
  <c r="U48" i="57" s="1"/>
  <c r="L48" i="57" s="1"/>
  <c r="V48" i="57" s="1"/>
  <c r="M48" i="57" s="1"/>
  <c r="S216" i="57"/>
  <c r="S217" i="57"/>
  <c r="V36" i="57"/>
  <c r="M36" i="57" s="1"/>
  <c r="U82" i="57"/>
  <c r="V35" i="57"/>
  <c r="M35" i="57" s="1"/>
  <c r="V142" i="57"/>
  <c r="M142" i="57" s="1"/>
  <c r="V144" i="57"/>
  <c r="M144" i="57" s="1"/>
  <c r="R218" i="57"/>
  <c r="S215" i="57"/>
  <c r="T214" i="57"/>
  <c r="U214" i="57" s="1"/>
  <c r="V197" i="57"/>
  <c r="V198" i="57"/>
  <c r="V199" i="57" s="1"/>
  <c r="V25" i="57"/>
  <c r="M25" i="57" s="1"/>
  <c r="V26" i="57"/>
  <c r="V68" i="57"/>
  <c r="V70" i="57"/>
  <c r="V69" i="57"/>
  <c r="AG6" i="58"/>
  <c r="AG5" i="58"/>
  <c r="AG7" i="58"/>
  <c r="AG67" i="58"/>
  <c r="AG104" i="58" s="1"/>
  <c r="AG12" i="58" a="1"/>
  <c r="AG12" i="58" s="1"/>
  <c r="AG11" i="58" s="1"/>
  <c r="AH4" i="58"/>
  <c r="AG22" i="58"/>
  <c r="AG25" i="58" s="1"/>
  <c r="AF8" i="58"/>
  <c r="L21" i="56"/>
  <c r="V22" i="56"/>
  <c r="AD22" i="56"/>
  <c r="X22" i="56"/>
  <c r="Z22" i="56" s="1"/>
  <c r="AB22" i="56" s="1"/>
  <c r="AC22" i="56" s="1"/>
  <c r="P22" i="56"/>
  <c r="R22" i="56" s="1"/>
  <c r="G23" i="56"/>
  <c r="F24" i="56"/>
  <c r="U110" i="56"/>
  <c r="AC36" i="56"/>
  <c r="N34" i="56"/>
  <c r="N33" i="56"/>
  <c r="M32" i="56"/>
  <c r="L36" i="56"/>
  <c r="U250" i="57"/>
  <c r="U249" i="57"/>
  <c r="U251" i="57"/>
  <c r="T232" i="57"/>
  <c r="T228" i="57"/>
  <c r="T230" i="57"/>
  <c r="T229" i="57"/>
  <c r="S259" i="57"/>
  <c r="N35" i="56"/>
  <c r="M30" i="56"/>
  <c r="T252" i="57"/>
  <c r="M33" i="56"/>
  <c r="M31" i="56"/>
  <c r="M34" i="56"/>
  <c r="N32" i="56"/>
  <c r="V108" i="56"/>
  <c r="W106" i="56"/>
  <c r="V109" i="56"/>
  <c r="V107" i="56"/>
  <c r="M29" i="56"/>
  <c r="U36" i="56"/>
  <c r="N30" i="56"/>
  <c r="M35" i="56"/>
  <c r="V36" i="56"/>
  <c r="N29" i="56"/>
  <c r="N31" i="56"/>
  <c r="S231" i="57"/>
  <c r="S218" i="57" l="1"/>
  <c r="V82" i="57"/>
  <c r="W197" i="57"/>
  <c r="W196" i="57"/>
  <c r="V77" i="57"/>
  <c r="T215" i="57"/>
  <c r="T216" i="57"/>
  <c r="T217" i="57"/>
  <c r="W198" i="57"/>
  <c r="W199" i="57" s="1"/>
  <c r="AG8" i="58"/>
  <c r="AF87" i="58"/>
  <c r="AF77" i="58"/>
  <c r="AF88" i="58"/>
  <c r="AF76" i="58"/>
  <c r="AH7" i="58"/>
  <c r="AI4" i="58"/>
  <c r="AH67" i="58"/>
  <c r="AH104" i="58" s="1"/>
  <c r="AH6" i="58"/>
  <c r="AH12" i="58" a="1"/>
  <c r="AH12" i="58" s="1"/>
  <c r="AH11" i="58" s="1"/>
  <c r="AH5" i="58"/>
  <c r="AH22" i="58"/>
  <c r="AH25" i="58" s="1"/>
  <c r="N22" i="56"/>
  <c r="G24" i="56"/>
  <c r="F25" i="56"/>
  <c r="V23" i="56"/>
  <c r="X23" i="56"/>
  <c r="Z23" i="56" s="1"/>
  <c r="AB23" i="56" s="1"/>
  <c r="AC23" i="56" s="1"/>
  <c r="AD23" i="56"/>
  <c r="P23" i="56"/>
  <c r="R23" i="56" s="1"/>
  <c r="H23" i="56"/>
  <c r="I23" i="56" s="1"/>
  <c r="T22" i="56"/>
  <c r="V110" i="56"/>
  <c r="X196" i="57"/>
  <c r="X197" i="57"/>
  <c r="AD36" i="56"/>
  <c r="U232" i="57"/>
  <c r="V251" i="57"/>
  <c r="T259" i="57"/>
  <c r="U229" i="57"/>
  <c r="U230" i="57"/>
  <c r="V249" i="57"/>
  <c r="V250" i="57"/>
  <c r="U228" i="57"/>
  <c r="U217" i="57"/>
  <c r="V214" i="57"/>
  <c r="X198" i="57"/>
  <c r="U215" i="57"/>
  <c r="U216" i="57"/>
  <c r="U252" i="57"/>
  <c r="N36" i="56"/>
  <c r="W108" i="56"/>
  <c r="X106" i="56"/>
  <c r="W109" i="56"/>
  <c r="W107" i="56"/>
  <c r="M36" i="56"/>
  <c r="T231" i="57"/>
  <c r="J23" i="56" l="1"/>
  <c r="K23" i="56" s="1"/>
  <c r="Y23" i="56"/>
  <c r="AA23" i="56" s="1"/>
  <c r="Q23" i="56"/>
  <c r="S23" i="56" s="1"/>
  <c r="T218" i="57"/>
  <c r="G25" i="56"/>
  <c r="X25" i="56" s="1"/>
  <c r="Z25" i="56" s="1"/>
  <c r="AB25" i="56" s="1"/>
  <c r="AC25" i="56" s="1"/>
  <c r="AG87" i="58"/>
  <c r="AG88" i="58"/>
  <c r="AG77" i="58"/>
  <c r="AG76" i="58"/>
  <c r="AI12" i="58" a="1"/>
  <c r="AI12" i="58" s="1"/>
  <c r="AI11" i="58" s="1"/>
  <c r="AI22" i="58"/>
  <c r="AI25" i="58" s="1"/>
  <c r="AI5" i="58"/>
  <c r="AI8" i="58" s="1"/>
  <c r="AI7" i="58"/>
  <c r="AI67" i="58"/>
  <c r="AI104" i="58" s="1"/>
  <c r="AJ4" i="58"/>
  <c r="AI6" i="58"/>
  <c r="AH8" i="58"/>
  <c r="N23" i="56"/>
  <c r="X199" i="57"/>
  <c r="L22" i="56"/>
  <c r="U22" i="56"/>
  <c r="T23" i="56"/>
  <c r="P25" i="56"/>
  <c r="R25" i="56" s="1"/>
  <c r="V25" i="56"/>
  <c r="V24" i="56"/>
  <c r="N24" i="56" s="1"/>
  <c r="H24" i="56"/>
  <c r="I24" i="56" s="1"/>
  <c r="AD24" i="56"/>
  <c r="X24" i="56"/>
  <c r="Z24" i="56" s="1"/>
  <c r="AB24" i="56" s="1"/>
  <c r="AC24" i="56" s="1"/>
  <c r="P24" i="56"/>
  <c r="R24" i="56" s="1"/>
  <c r="U231" i="57"/>
  <c r="V252" i="57"/>
  <c r="U218" i="57"/>
  <c r="Y196" i="57"/>
  <c r="Y197" i="57"/>
  <c r="W214" i="57"/>
  <c r="V216" i="57"/>
  <c r="V215" i="57"/>
  <c r="V217" i="57"/>
  <c r="Y198" i="57"/>
  <c r="X109" i="56"/>
  <c r="X107" i="56"/>
  <c r="Y106" i="56"/>
  <c r="X108" i="56"/>
  <c r="W110" i="56"/>
  <c r="W249" i="57"/>
  <c r="U259" i="57"/>
  <c r="V228" i="57"/>
  <c r="W250" i="57"/>
  <c r="V230" i="57"/>
  <c r="W251" i="57"/>
  <c r="V232" i="57"/>
  <c r="V229" i="57"/>
  <c r="H25" i="56" l="1"/>
  <c r="I25" i="56" s="1"/>
  <c r="J24" i="56"/>
  <c r="K24" i="56" s="1"/>
  <c r="Q24" i="56"/>
  <c r="S24" i="56" s="1"/>
  <c r="Y24" i="56"/>
  <c r="AA24" i="56" s="1"/>
  <c r="AD25" i="56"/>
  <c r="M22" i="56"/>
  <c r="AH77" i="58"/>
  <c r="AI77" i="58" s="1"/>
  <c r="AH88" i="58"/>
  <c r="AI88" i="58" s="1"/>
  <c r="AH87" i="58"/>
  <c r="AI87" i="58" s="1"/>
  <c r="AH76" i="58"/>
  <c r="AI76" i="58" s="1"/>
  <c r="AJ67" i="58"/>
  <c r="AJ104" i="58" s="1"/>
  <c r="AJ22" i="58"/>
  <c r="AJ25" i="58" s="1"/>
  <c r="AJ7" i="58"/>
  <c r="AJ6" i="58"/>
  <c r="AJ12" i="58" a="1"/>
  <c r="AJ12" i="58" s="1"/>
  <c r="AJ11" i="58" s="1"/>
  <c r="AJ5" i="58"/>
  <c r="AJ8" i="58" s="1"/>
  <c r="AK4" i="58"/>
  <c r="N25" i="56"/>
  <c r="U23" i="56"/>
  <c r="M23" i="56" s="1"/>
  <c r="L23" i="56"/>
  <c r="T24" i="56"/>
  <c r="T25" i="56"/>
  <c r="X110" i="56"/>
  <c r="V218" i="57"/>
  <c r="Z197" i="57"/>
  <c r="Z196" i="57"/>
  <c r="W252" i="57"/>
  <c r="Z198" i="57"/>
  <c r="W215" i="57"/>
  <c r="W216" i="57"/>
  <c r="W217" i="57"/>
  <c r="X214" i="57"/>
  <c r="X251" i="57"/>
  <c r="V259" i="57"/>
  <c r="X250" i="57"/>
  <c r="W232" i="57"/>
  <c r="W229" i="57"/>
  <c r="X249" i="57"/>
  <c r="W230" i="57"/>
  <c r="W228" i="57"/>
  <c r="V231" i="57"/>
  <c r="Y107" i="56"/>
  <c r="Y108" i="56"/>
  <c r="Z106" i="56"/>
  <c r="Y109" i="56"/>
  <c r="Y199" i="57"/>
  <c r="J25" i="56" l="1"/>
  <c r="K25" i="56" s="1"/>
  <c r="Q25" i="56"/>
  <c r="S25" i="56" s="1"/>
  <c r="Y25" i="56"/>
  <c r="AA25" i="56" s="1"/>
  <c r="AK25" i="58"/>
  <c r="AK12" i="58" a="1"/>
  <c r="AK12" i="58" s="1"/>
  <c r="AK11" i="58" s="1"/>
  <c r="AL4" i="58"/>
  <c r="AK67" i="58"/>
  <c r="AK104" i="58" s="1"/>
  <c r="AK6" i="58"/>
  <c r="AK22" i="58"/>
  <c r="AK7" i="58"/>
  <c r="AK5" i="58"/>
  <c r="AK8" i="58" s="1"/>
  <c r="AJ88" i="58"/>
  <c r="AJ76" i="58"/>
  <c r="AJ87" i="58"/>
  <c r="AJ77" i="58"/>
  <c r="U24" i="56"/>
  <c r="M24" i="56" s="1"/>
  <c r="L24" i="56"/>
  <c r="U25" i="56"/>
  <c r="M25" i="56" s="1"/>
  <c r="L25" i="56"/>
  <c r="W231" i="57"/>
  <c r="AA196" i="57"/>
  <c r="AA197" i="57"/>
  <c r="X252" i="57"/>
  <c r="X216" i="57"/>
  <c r="X217" i="57"/>
  <c r="X215" i="57"/>
  <c r="Y214" i="57"/>
  <c r="AA198" i="57"/>
  <c r="Z199" i="57"/>
  <c r="Y110" i="56"/>
  <c r="Y249" i="57"/>
  <c r="W259" i="57"/>
  <c r="Y250" i="57"/>
  <c r="Y251" i="57"/>
  <c r="X230" i="57"/>
  <c r="X229" i="57"/>
  <c r="X228" i="57"/>
  <c r="X232" i="57"/>
  <c r="W218" i="57"/>
  <c r="Z108" i="56"/>
  <c r="Z107" i="56"/>
  <c r="AA106" i="56"/>
  <c r="Z109" i="56"/>
  <c r="AL25" i="58" l="1"/>
  <c r="AL67" i="58"/>
  <c r="AL104" i="58" s="1"/>
  <c r="AL22" i="58"/>
  <c r="AL6" i="58"/>
  <c r="AL12" i="58" a="1"/>
  <c r="AL12" i="58" s="1"/>
  <c r="AL11" i="58" s="1"/>
  <c r="AL5" i="58"/>
  <c r="AM4" i="58"/>
  <c r="AL7" i="58"/>
  <c r="AK87" i="58"/>
  <c r="AK88" i="58"/>
  <c r="AK76" i="58"/>
  <c r="AK77" i="58"/>
  <c r="Z110" i="56"/>
  <c r="X231" i="57"/>
  <c r="X218" i="57"/>
  <c r="AB196" i="57"/>
  <c r="AB197" i="57"/>
  <c r="AA199" i="57"/>
  <c r="Y215" i="57"/>
  <c r="Y217" i="57"/>
  <c r="Z214" i="57"/>
  <c r="AB198" i="57"/>
  <c r="Y216" i="57"/>
  <c r="Y252" i="57"/>
  <c r="Z251" i="57"/>
  <c r="Z250" i="57"/>
  <c r="X259" i="57"/>
  <c r="Y228" i="57"/>
  <c r="Y230" i="57"/>
  <c r="Y229" i="57"/>
  <c r="Y232" i="57"/>
  <c r="Z249" i="57"/>
  <c r="AA107" i="56"/>
  <c r="AA108" i="56"/>
  <c r="AB106" i="56"/>
  <c r="AA109" i="56"/>
  <c r="AB199" i="57" l="1"/>
  <c r="AM25" i="58"/>
  <c r="AM67" i="58"/>
  <c r="AM104" i="58" s="1"/>
  <c r="AM12" i="58" a="1"/>
  <c r="AM12" i="58" s="1"/>
  <c r="AM11" i="58" s="1"/>
  <c r="AM6" i="58"/>
  <c r="AM5" i="58"/>
  <c r="AM8" i="58" s="1"/>
  <c r="AN4" i="58"/>
  <c r="AM22" i="58"/>
  <c r="AM7" i="58"/>
  <c r="AL8" i="58"/>
  <c r="Y218" i="57"/>
  <c r="AC197" i="57"/>
  <c r="AC196" i="57"/>
  <c r="Y231" i="57"/>
  <c r="Z217" i="57"/>
  <c r="Z216" i="57"/>
  <c r="AA214" i="57"/>
  <c r="Z215" i="57"/>
  <c r="AC198" i="57"/>
  <c r="AB109" i="56"/>
  <c r="AC106" i="56"/>
  <c r="AB107" i="56"/>
  <c r="AB108" i="56"/>
  <c r="AA110" i="56"/>
  <c r="Z252" i="57"/>
  <c r="AA249" i="57"/>
  <c r="Y259" i="57"/>
  <c r="AA250" i="57"/>
  <c r="Z230" i="57"/>
  <c r="Z228" i="57"/>
  <c r="Z232" i="57"/>
  <c r="Z229" i="57"/>
  <c r="AA251" i="57"/>
  <c r="AL87" i="58" l="1"/>
  <c r="AM87" i="58" s="1"/>
  <c r="AL88" i="58"/>
  <c r="AM88" i="58" s="1"/>
  <c r="AL76" i="58"/>
  <c r="AM76" i="58" s="1"/>
  <c r="AL77" i="58"/>
  <c r="AM77" i="58" s="1"/>
  <c r="AN25" i="58"/>
  <c r="AN67" i="58"/>
  <c r="AN104" i="58" s="1"/>
  <c r="AN22" i="58"/>
  <c r="AN6" i="58"/>
  <c r="AN5" i="58"/>
  <c r="AN12" i="58" a="1"/>
  <c r="AN12" i="58" s="1"/>
  <c r="AN11" i="58" s="1"/>
  <c r="AO4" i="58"/>
  <c r="AN7" i="58"/>
  <c r="AC199" i="57"/>
  <c r="Z218" i="57"/>
  <c r="AD197" i="57"/>
  <c r="AD196" i="57"/>
  <c r="Z231" i="57"/>
  <c r="AB110" i="56"/>
  <c r="AC109" i="56"/>
  <c r="AC108" i="56"/>
  <c r="AD106" i="56"/>
  <c r="AC107" i="56"/>
  <c r="AA216" i="57"/>
  <c r="AD198" i="57"/>
  <c r="AA217" i="57"/>
  <c r="AB214" i="57"/>
  <c r="AA215" i="57"/>
  <c r="AB249" i="57"/>
  <c r="AA228" i="57"/>
  <c r="AA232" i="57"/>
  <c r="AA229" i="57"/>
  <c r="AB250" i="57"/>
  <c r="AA230" i="57"/>
  <c r="AB251" i="57"/>
  <c r="Z259" i="57"/>
  <c r="AA252" i="57"/>
  <c r="AO67" i="58" l="1"/>
  <c r="AO104" i="58" s="1"/>
  <c r="AO5" i="58"/>
  <c r="AO7" i="58"/>
  <c r="AO22" i="58"/>
  <c r="AO25" i="58" s="1"/>
  <c r="AO6" i="58"/>
  <c r="AO12" i="58" a="1"/>
  <c r="AO12" i="58" s="1"/>
  <c r="AO11" i="58" s="1"/>
  <c r="AP4" i="58"/>
  <c r="AN8" i="58"/>
  <c r="AE196" i="57"/>
  <c r="AE197" i="57"/>
  <c r="AB252" i="57"/>
  <c r="AA218" i="57"/>
  <c r="AD199" i="57"/>
  <c r="AC110" i="56"/>
  <c r="AA259" i="57"/>
  <c r="AC250" i="57"/>
  <c r="AC251" i="57"/>
  <c r="AB230" i="57"/>
  <c r="AB228" i="57"/>
  <c r="AB232" i="57"/>
  <c r="AB229" i="57"/>
  <c r="AC249" i="57"/>
  <c r="AB215" i="57"/>
  <c r="AB217" i="57"/>
  <c r="AC214" i="57"/>
  <c r="AE198" i="57"/>
  <c r="AB216" i="57"/>
  <c r="AA231" i="57"/>
  <c r="AE106" i="56"/>
  <c r="AD109" i="56"/>
  <c r="AD108" i="56"/>
  <c r="AD107" i="56"/>
  <c r="AN88" i="58" l="1"/>
  <c r="AN76" i="58"/>
  <c r="AN77" i="58"/>
  <c r="AN87" i="58"/>
  <c r="AP67" i="58"/>
  <c r="AP104" i="58" s="1"/>
  <c r="AP12" i="58" a="1"/>
  <c r="AP12" i="58" s="1"/>
  <c r="AP11" i="58" s="1"/>
  <c r="AP22" i="58"/>
  <c r="AP25" i="58" s="1"/>
  <c r="AP5" i="58"/>
  <c r="AP8" i="58" s="1"/>
  <c r="AP7" i="58"/>
  <c r="AQ4" i="58"/>
  <c r="AP6" i="58"/>
  <c r="AO8" i="58"/>
  <c r="AD110" i="56"/>
  <c r="AB231" i="57"/>
  <c r="AF196" i="57"/>
  <c r="AF197" i="57"/>
  <c r="AB218" i="57"/>
  <c r="AC215" i="57"/>
  <c r="AC217" i="57"/>
  <c r="AD214" i="57"/>
  <c r="AF198" i="57"/>
  <c r="AC216" i="57"/>
  <c r="AC252" i="57"/>
  <c r="AD251" i="57"/>
  <c r="AD249" i="57"/>
  <c r="AD250" i="57"/>
  <c r="AC232" i="57"/>
  <c r="AC229" i="57"/>
  <c r="AC228" i="57"/>
  <c r="AB259" i="57"/>
  <c r="AC230" i="57"/>
  <c r="AE107" i="56"/>
  <c r="AF106" i="56"/>
  <c r="AE108" i="56"/>
  <c r="AE109" i="56"/>
  <c r="AE199" i="57"/>
  <c r="AO88" i="58" l="1"/>
  <c r="AP88" i="58" s="1"/>
  <c r="AO76" i="58"/>
  <c r="AP76" i="58" s="1"/>
  <c r="AO87" i="58"/>
  <c r="AP87" i="58" s="1"/>
  <c r="AO77" i="58"/>
  <c r="AP77" i="58" s="1"/>
  <c r="AQ67" i="58"/>
  <c r="AQ104" i="58" s="1"/>
  <c r="AQ22" i="58"/>
  <c r="AQ25" i="58" s="1"/>
  <c r="AQ12" i="58" a="1"/>
  <c r="AQ12" i="58" s="1"/>
  <c r="AQ11" i="58" s="1"/>
  <c r="AQ7" i="58"/>
  <c r="AQ5" i="58"/>
  <c r="AR4" i="58"/>
  <c r="AQ6" i="58"/>
  <c r="AC231" i="57"/>
  <c r="AG196" i="57"/>
  <c r="AG197" i="57"/>
  <c r="AD252" i="57"/>
  <c r="AC259" i="57"/>
  <c r="AE250" i="57"/>
  <c r="AE251" i="57"/>
  <c r="AE249" i="57"/>
  <c r="AD230" i="57"/>
  <c r="AD228" i="57"/>
  <c r="AD232" i="57"/>
  <c r="AD229" i="57"/>
  <c r="AF107" i="56"/>
  <c r="AG106" i="56"/>
  <c r="AF109" i="56"/>
  <c r="AF108" i="56"/>
  <c r="AD217" i="57"/>
  <c r="AE214" i="57"/>
  <c r="AD216" i="57"/>
  <c r="AG198" i="57"/>
  <c r="AD215" i="57"/>
  <c r="AE110" i="56"/>
  <c r="AF199" i="57"/>
  <c r="AC218" i="57"/>
  <c r="AR7" i="58" l="1"/>
  <c r="AR67" i="58"/>
  <c r="AR104" i="58" s="1"/>
  <c r="AR22" i="58"/>
  <c r="AR25" i="58" s="1"/>
  <c r="AR5" i="58"/>
  <c r="AR12" i="58" a="1"/>
  <c r="AR12" i="58" s="1"/>
  <c r="AR11" i="58" s="1"/>
  <c r="AS4" i="58"/>
  <c r="AR6" i="58"/>
  <c r="AQ8" i="58"/>
  <c r="AE252" i="57"/>
  <c r="AH197" i="57"/>
  <c r="AH196" i="57"/>
  <c r="AF251" i="57"/>
  <c r="AF249" i="57"/>
  <c r="AE232" i="57"/>
  <c r="AE229" i="57"/>
  <c r="AD259" i="57"/>
  <c r="AF250" i="57"/>
  <c r="AE230" i="57"/>
  <c r="AE228" i="57"/>
  <c r="AD231" i="57"/>
  <c r="AG109" i="56"/>
  <c r="AH106" i="56"/>
  <c r="AG108" i="56"/>
  <c r="AG107" i="56"/>
  <c r="AF110" i="56"/>
  <c r="AD218" i="57"/>
  <c r="AE216" i="57"/>
  <c r="AH198" i="57"/>
  <c r="AE215" i="57"/>
  <c r="AF214" i="57"/>
  <c r="AE217" i="57"/>
  <c r="AG199" i="57"/>
  <c r="AH199" i="57" l="1"/>
  <c r="AS67" i="58"/>
  <c r="AS104" i="58" s="1"/>
  <c r="AS5" i="58"/>
  <c r="AS8" i="58" s="1"/>
  <c r="AS12" i="58" a="1"/>
  <c r="AS12" i="58" s="1"/>
  <c r="AS11" i="58" s="1"/>
  <c r="AS6" i="58"/>
  <c r="AS7" i="58"/>
  <c r="AS22" i="58"/>
  <c r="AS25" i="58" s="1"/>
  <c r="AT4" i="58"/>
  <c r="AR8" i="58"/>
  <c r="AQ77" i="58"/>
  <c r="AQ88" i="58"/>
  <c r="AQ87" i="58"/>
  <c r="AQ76" i="58"/>
  <c r="AE218" i="57"/>
  <c r="AE231" i="57"/>
  <c r="AI196" i="57"/>
  <c r="AI197" i="57"/>
  <c r="AF217" i="57"/>
  <c r="AF216" i="57"/>
  <c r="AF215" i="57"/>
  <c r="AG214" i="57"/>
  <c r="AI198" i="57"/>
  <c r="AF252" i="57"/>
  <c r="AG110" i="56"/>
  <c r="AG250" i="57"/>
  <c r="AG249" i="57"/>
  <c r="AF228" i="57"/>
  <c r="AE259" i="57"/>
  <c r="AG251" i="57"/>
  <c r="AF232" i="57"/>
  <c r="AF229" i="57"/>
  <c r="AF230" i="57"/>
  <c r="AH108" i="56"/>
  <c r="AI106" i="56"/>
  <c r="AH109" i="56"/>
  <c r="AH107" i="56"/>
  <c r="AT22" i="58" l="1"/>
  <c r="AT25" i="58" s="1"/>
  <c r="AT12" i="58" a="1"/>
  <c r="AT12" i="58" s="1"/>
  <c r="AT11" i="58" s="1"/>
  <c r="AT7" i="58"/>
  <c r="AU4" i="58"/>
  <c r="AT6" i="58"/>
  <c r="AT67" i="58"/>
  <c r="AT104" i="58" s="1"/>
  <c r="AT5" i="58"/>
  <c r="AR87" i="58"/>
  <c r="AS87" i="58" s="1"/>
  <c r="AR77" i="58"/>
  <c r="AS77" i="58" s="1"/>
  <c r="AR76" i="58"/>
  <c r="AS76" i="58" s="1"/>
  <c r="AR88" i="58"/>
  <c r="AS88" i="58" s="1"/>
  <c r="AH110" i="56"/>
  <c r="AF218" i="57"/>
  <c r="AJ196" i="57"/>
  <c r="AJ197" i="57"/>
  <c r="AG232" i="57"/>
  <c r="AH251" i="57"/>
  <c r="AF259" i="57"/>
  <c r="AH250" i="57"/>
  <c r="AH249" i="57"/>
  <c r="AG229" i="57"/>
  <c r="AG230" i="57"/>
  <c r="AG228" i="57"/>
  <c r="AF231" i="57"/>
  <c r="AH214" i="57"/>
  <c r="AG216" i="57"/>
  <c r="AJ198" i="57"/>
  <c r="AG215" i="57"/>
  <c r="AG217" i="57"/>
  <c r="AG252" i="57"/>
  <c r="AI199" i="57"/>
  <c r="AI107" i="56"/>
  <c r="AI108" i="56"/>
  <c r="AJ106" i="56"/>
  <c r="AI109" i="56"/>
  <c r="AU12" i="58" l="1" a="1"/>
  <c r="AU12" i="58" s="1"/>
  <c r="AU11" i="58" s="1"/>
  <c r="AU5" i="58"/>
  <c r="AU8" i="58" s="1"/>
  <c r="AU7" i="58"/>
  <c r="AV4" i="58"/>
  <c r="AU67" i="58"/>
  <c r="AU104" i="58" s="1"/>
  <c r="AU22" i="58"/>
  <c r="AU25" i="58" s="1"/>
  <c r="AU6" i="58"/>
  <c r="AT8" i="58"/>
  <c r="AI110" i="56"/>
  <c r="AJ199" i="57"/>
  <c r="AG231" i="57"/>
  <c r="AK196" i="57"/>
  <c r="AK197" i="57"/>
  <c r="AI214" i="57"/>
  <c r="AH217" i="57"/>
  <c r="AH215" i="57"/>
  <c r="AH216" i="57"/>
  <c r="AK198" i="57"/>
  <c r="AJ109" i="56"/>
  <c r="AJ108" i="56"/>
  <c r="AK106" i="56"/>
  <c r="AJ107" i="56"/>
  <c r="AH252" i="57"/>
  <c r="AG218" i="57"/>
  <c r="AI249" i="57"/>
  <c r="AG259" i="57"/>
  <c r="AH228" i="57"/>
  <c r="AH232" i="57"/>
  <c r="AI251" i="57"/>
  <c r="AH230" i="57"/>
  <c r="AI250" i="57"/>
  <c r="AH229" i="57"/>
  <c r="AV7" i="58" l="1"/>
  <c r="AV6" i="58"/>
  <c r="AV67" i="58"/>
  <c r="AV104" i="58" s="1"/>
  <c r="AV22" i="58"/>
  <c r="AV25" i="58" s="1"/>
  <c r="AV12" i="58" a="1"/>
  <c r="AV12" i="58" s="1"/>
  <c r="AV11" i="58" s="1"/>
  <c r="AV5" i="58"/>
  <c r="AT77" i="58"/>
  <c r="AU77" i="58" s="1"/>
  <c r="AT87" i="58"/>
  <c r="AU87" i="58" s="1"/>
  <c r="AT76" i="58"/>
  <c r="AU76" i="58" s="1"/>
  <c r="AT88" i="58"/>
  <c r="AU88" i="58" s="1"/>
  <c r="AH218" i="57"/>
  <c r="AL197" i="57"/>
  <c r="AL196" i="57"/>
  <c r="AI232" i="57"/>
  <c r="AJ251" i="57"/>
  <c r="AH259" i="57"/>
  <c r="AJ250" i="57"/>
  <c r="AI229" i="57"/>
  <c r="AI230" i="57"/>
  <c r="AJ249" i="57"/>
  <c r="AI228" i="57"/>
  <c r="AH231" i="57"/>
  <c r="AJ110" i="56"/>
  <c r="AK107" i="56"/>
  <c r="AK109" i="56"/>
  <c r="AL106" i="56"/>
  <c r="AK108" i="56"/>
  <c r="AK199" i="57"/>
  <c r="AI252" i="57"/>
  <c r="AI217" i="57"/>
  <c r="AI216" i="57"/>
  <c r="AL198" i="57"/>
  <c r="AI215" i="57"/>
  <c r="AJ214" i="57"/>
  <c r="AV8" i="58" l="1"/>
  <c r="AR10" i="58"/>
  <c r="AK110" i="56"/>
  <c r="AI218" i="57"/>
  <c r="AM196" i="57"/>
  <c r="AM197" i="57"/>
  <c r="AJ216" i="57"/>
  <c r="AM198" i="57"/>
  <c r="AK214" i="57"/>
  <c r="AJ215" i="57"/>
  <c r="AJ217" i="57"/>
  <c r="AL199" i="57"/>
  <c r="AL108" i="56"/>
  <c r="AL109" i="56"/>
  <c r="AL107" i="56"/>
  <c r="AM106" i="56"/>
  <c r="AK249" i="57"/>
  <c r="AI259" i="57"/>
  <c r="AK250" i="57"/>
  <c r="AJ230" i="57"/>
  <c r="AK251" i="57"/>
  <c r="AJ229" i="57"/>
  <c r="AJ232" i="57"/>
  <c r="AJ228" i="57"/>
  <c r="AI231" i="57"/>
  <c r="AJ252" i="57"/>
  <c r="AV88" i="58" l="1"/>
  <c r="AV87" i="58"/>
  <c r="AV76" i="58"/>
  <c r="AV77" i="58"/>
  <c r="AS10" i="58"/>
  <c r="AM199" i="57"/>
  <c r="AN197" i="57"/>
  <c r="AN196" i="57"/>
  <c r="AK252" i="57"/>
  <c r="AM107" i="56"/>
  <c r="AM108" i="56"/>
  <c r="AN106" i="56"/>
  <c r="AM109" i="56"/>
  <c r="AL110" i="56"/>
  <c r="AJ231" i="57"/>
  <c r="AL251" i="57"/>
  <c r="AL250" i="57"/>
  <c r="AK232" i="57"/>
  <c r="AJ259" i="57"/>
  <c r="AK228" i="57"/>
  <c r="AL249" i="57"/>
  <c r="AK229" i="57"/>
  <c r="AK230" i="57"/>
  <c r="AJ218" i="57"/>
  <c r="AK215" i="57"/>
  <c r="AL214" i="57"/>
  <c r="AK217" i="57"/>
  <c r="AN198" i="57"/>
  <c r="AK216" i="57"/>
  <c r="AT10" i="58" l="1"/>
  <c r="AN199" i="57"/>
  <c r="AM110" i="56"/>
  <c r="AO197" i="57"/>
  <c r="AO196" i="57"/>
  <c r="AK231" i="57"/>
  <c r="AL217" i="57"/>
  <c r="AL216" i="57"/>
  <c r="AL215" i="57"/>
  <c r="AO198" i="57"/>
  <c r="AN108" i="56"/>
  <c r="AO106" i="56"/>
  <c r="AN109" i="56"/>
  <c r="AN107" i="56"/>
  <c r="AL252" i="57"/>
  <c r="AK218" i="57"/>
  <c r="AM249" i="57"/>
  <c r="AK259" i="57"/>
  <c r="AM250" i="57"/>
  <c r="AL230" i="57"/>
  <c r="AM251" i="57"/>
  <c r="AL228" i="57"/>
  <c r="AL229" i="57"/>
  <c r="AL232" i="57"/>
  <c r="AU10" i="58" l="1"/>
  <c r="AO199" i="57"/>
  <c r="AL218" i="57"/>
  <c r="AM252" i="57"/>
  <c r="AN110" i="56"/>
  <c r="AL259" i="57"/>
  <c r="AM228" i="57"/>
  <c r="AM229" i="57"/>
  <c r="AN249" i="57"/>
  <c r="AM230" i="57"/>
  <c r="AM232" i="57"/>
  <c r="AN251" i="57"/>
  <c r="AN250" i="57"/>
  <c r="AO109" i="56"/>
  <c r="AO108" i="56"/>
  <c r="AP106" i="56"/>
  <c r="AO107" i="56"/>
  <c r="AL231" i="57"/>
  <c r="AO110" i="56" l="1"/>
  <c r="AM231" i="57"/>
  <c r="AP107" i="56"/>
  <c r="AQ106" i="56"/>
  <c r="AP108" i="56"/>
  <c r="AP109" i="56"/>
  <c r="AM259" i="57"/>
  <c r="AO250" i="57"/>
  <c r="AO251" i="57"/>
  <c r="AN230" i="57"/>
  <c r="AN228" i="57"/>
  <c r="AN229" i="57"/>
  <c r="AO249" i="57"/>
  <c r="AN232" i="57"/>
  <c r="AN252" i="57"/>
  <c r="AP110" i="56" l="1"/>
  <c r="AO252" i="57"/>
  <c r="AN231" i="57"/>
  <c r="AP251" i="57"/>
  <c r="AP249" i="57"/>
  <c r="AO229" i="57"/>
  <c r="AO232" i="57"/>
  <c r="AP250" i="57"/>
  <c r="AO228" i="57"/>
  <c r="AN259" i="57"/>
  <c r="AO230" i="57"/>
  <c r="AQ108" i="56"/>
  <c r="AR106" i="56"/>
  <c r="AQ109" i="56"/>
  <c r="AQ107" i="56"/>
  <c r="AQ110" i="56" l="1"/>
  <c r="AP252" i="57"/>
  <c r="AO231" i="57"/>
  <c r="AR107" i="56"/>
  <c r="AR108" i="56"/>
  <c r="AR109" i="56"/>
  <c r="AS106" i="56"/>
  <c r="AO259" i="57"/>
  <c r="AQ250" i="57"/>
  <c r="AQ251" i="57"/>
  <c r="AQ249" i="57"/>
  <c r="AP230" i="57"/>
  <c r="AP228" i="57"/>
  <c r="AP232" i="57"/>
  <c r="AP229" i="57"/>
  <c r="AR110" i="56" l="1"/>
  <c r="AP231" i="57"/>
  <c r="AQ252" i="57"/>
  <c r="AS109" i="56"/>
  <c r="AT106" i="56"/>
  <c r="AS107" i="56"/>
  <c r="AS108" i="56"/>
  <c r="AR251" i="57"/>
  <c r="AR249" i="57"/>
  <c r="AP259" i="57"/>
  <c r="AQ229" i="57"/>
  <c r="AQ232" i="57"/>
  <c r="AR250" i="57"/>
  <c r="AQ228" i="57"/>
  <c r="AQ230" i="57"/>
  <c r="AQ231" i="57" l="1"/>
  <c r="AR228" i="57"/>
  <c r="AQ259" i="57"/>
  <c r="AR232" i="57"/>
  <c r="AR230" i="57"/>
  <c r="AR229" i="57"/>
  <c r="AR252" i="57"/>
  <c r="AS110" i="56"/>
  <c r="AT108" i="56"/>
  <c r="AU106" i="56"/>
  <c r="AT109" i="56"/>
  <c r="AT107" i="56"/>
  <c r="AT110" i="56" l="1"/>
  <c r="AU109" i="56"/>
  <c r="AU107" i="56"/>
  <c r="AU108" i="56"/>
  <c r="AV106" i="56"/>
  <c r="AS232" i="57"/>
  <c r="AR259" i="57"/>
  <c r="AS229" i="57"/>
  <c r="AS230" i="57"/>
  <c r="AS228" i="57"/>
  <c r="AS250" i="57"/>
  <c r="AS249" i="57"/>
  <c r="AS251" i="57"/>
  <c r="AR231" i="57"/>
  <c r="AS231" i="57" l="1"/>
  <c r="AT251" i="57"/>
  <c r="AS259" i="57"/>
  <c r="AT250" i="57"/>
  <c r="AT249" i="57"/>
  <c r="AS252" i="57"/>
  <c r="AT228" i="57"/>
  <c r="AT232" i="57"/>
  <c r="AT230" i="57"/>
  <c r="AT229" i="57"/>
  <c r="AV109" i="56"/>
  <c r="AW106" i="56"/>
  <c r="AV107" i="56"/>
  <c r="AV108" i="56"/>
  <c r="AU110" i="56"/>
  <c r="AT252" i="57" l="1"/>
  <c r="AU249" i="57"/>
  <c r="AT259" i="57"/>
  <c r="AU250" i="57"/>
  <c r="AU251" i="57"/>
  <c r="AV110" i="56"/>
  <c r="AW107" i="56"/>
  <c r="AX106" i="56"/>
  <c r="AW109" i="56"/>
  <c r="AW108" i="56"/>
  <c r="AU232" i="57"/>
  <c r="AU229" i="57"/>
  <c r="AU230" i="57"/>
  <c r="AU228" i="57"/>
  <c r="AT231" i="57"/>
  <c r="AU231" i="57" l="1"/>
  <c r="AV251" i="57"/>
  <c r="AU259" i="57"/>
  <c r="AV250" i="57"/>
  <c r="AV249" i="57"/>
  <c r="AU252" i="57"/>
  <c r="AV230" i="57"/>
  <c r="AV232" i="57"/>
  <c r="AV229" i="57"/>
  <c r="AV228" i="57"/>
  <c r="AX108" i="56"/>
  <c r="AX107" i="56"/>
  <c r="AX109" i="56"/>
  <c r="AY106" i="56"/>
  <c r="AW110" i="56"/>
  <c r="AV252" i="57" l="1"/>
  <c r="AW228" i="57"/>
  <c r="AW229" i="57"/>
  <c r="AW230" i="57"/>
  <c r="AW249" i="57"/>
  <c r="AW250" i="57"/>
  <c r="AV259" i="57"/>
  <c r="AW251" i="57"/>
  <c r="AY107" i="56"/>
  <c r="AY108" i="56"/>
  <c r="AY109" i="56"/>
  <c r="AX110" i="56"/>
  <c r="AV231" i="57"/>
  <c r="AW231" i="57" l="1"/>
  <c r="AW252" i="57"/>
  <c r="AY110" i="56"/>
  <c r="AX251" i="57"/>
  <c r="AW259" i="57"/>
  <c r="AX250" i="57"/>
  <c r="AX249" i="57"/>
  <c r="AX252" i="57" l="1"/>
  <c r="AY249" i="57"/>
  <c r="AY250" i="57"/>
  <c r="AX259" i="57"/>
  <c r="AY251" i="57"/>
  <c r="AY259" i="57" l="1"/>
  <c r="AZ251" i="57"/>
  <c r="AZ249" i="57"/>
  <c r="AZ250" i="57"/>
  <c r="AY252" i="57"/>
  <c r="BA250" i="57" l="1"/>
  <c r="BA251" i="57"/>
  <c r="AZ259" i="57"/>
  <c r="BA249" i="57"/>
  <c r="AZ252" i="57"/>
  <c r="BA252" i="57" l="1"/>
  <c r="BA259" i="57"/>
  <c r="BB251" i="57"/>
  <c r="BB249" i="57"/>
  <c r="BB250" i="57"/>
  <c r="BB252" i="57" l="1"/>
  <c r="BC250" i="57"/>
  <c r="BC251" i="57"/>
  <c r="BC249" i="57"/>
  <c r="BB259" i="57"/>
  <c r="BC252" i="57" l="1"/>
  <c r="BD251" i="57"/>
  <c r="BD249" i="57"/>
  <c r="BD250" i="57"/>
  <c r="BD252" i="57" l="1"/>
  <c r="N241" i="55"/>
  <c r="M233" i="55"/>
  <c r="B211" i="55"/>
  <c r="N200" i="55"/>
  <c r="M198" i="55"/>
  <c r="N197" i="55"/>
  <c r="M196" i="55"/>
  <c r="M194" i="55"/>
  <c r="N193" i="55"/>
  <c r="M156" i="55"/>
  <c r="M155" i="55"/>
  <c r="M140" i="55"/>
  <c r="B91" i="55"/>
  <c r="AP69" i="55"/>
  <c r="AO69" i="55"/>
  <c r="AN69" i="55"/>
  <c r="AM69" i="55"/>
  <c r="AL69" i="55"/>
  <c r="AK69" i="55"/>
  <c r="AJ69" i="55"/>
  <c r="AI69" i="55"/>
  <c r="AH69" i="55"/>
  <c r="AG69" i="55"/>
  <c r="AF69" i="55"/>
  <c r="AE69" i="55"/>
  <c r="AD69" i="55"/>
  <c r="AC69" i="55"/>
  <c r="AB69" i="55"/>
  <c r="AA69" i="55"/>
  <c r="Z69" i="55"/>
  <c r="Y69" i="55"/>
  <c r="X69" i="55"/>
  <c r="W69" i="55"/>
  <c r="V69" i="55"/>
  <c r="U69" i="55"/>
  <c r="T69" i="55"/>
  <c r="S69" i="55"/>
  <c r="R69" i="55"/>
  <c r="Q69" i="55"/>
  <c r="P69" i="55"/>
  <c r="O69" i="55"/>
  <c r="N69" i="55"/>
  <c r="M69" i="55"/>
  <c r="L69" i="55"/>
  <c r="K69" i="55"/>
  <c r="J69" i="55"/>
  <c r="P67" i="55"/>
  <c r="G41" i="55"/>
  <c r="D38" i="55"/>
  <c r="D37" i="55"/>
  <c r="D36" i="55"/>
  <c r="D35" i="55"/>
  <c r="D34" i="55"/>
  <c r="D33" i="55"/>
  <c r="D32" i="55"/>
  <c r="D31" i="55"/>
  <c r="D30" i="55"/>
  <c r="D29" i="55"/>
  <c r="D28" i="55"/>
  <c r="D27" i="55"/>
  <c r="D26" i="55"/>
  <c r="A38" i="55"/>
  <c r="C53" i="55"/>
  <c r="D21" i="55"/>
  <c r="A37" i="55" s="1"/>
  <c r="A35" i="55"/>
  <c r="D16" i="55"/>
  <c r="A32" i="55" s="1"/>
  <c r="C16" i="55"/>
  <c r="A30" i="55"/>
  <c r="C45" i="55"/>
  <c r="A29" i="55"/>
  <c r="C44" i="55"/>
  <c r="A28" i="55"/>
  <c r="C43" i="55"/>
  <c r="A27" i="55"/>
  <c r="C42" i="55"/>
  <c r="A26" i="55"/>
  <c r="C41"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G5" i="55"/>
  <c r="F5" i="55"/>
  <c r="E5" i="55"/>
  <c r="D5" i="55"/>
  <c r="AG6" i="55" s="1"/>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P68" i="55"/>
  <c r="X6" i="55" l="1"/>
  <c r="X7" i="55" s="1"/>
  <c r="AJ6" i="55"/>
  <c r="AJ7" i="55" s="1"/>
  <c r="Y6" i="55"/>
  <c r="Y7" i="55" s="1"/>
  <c r="L6" i="55"/>
  <c r="M6" i="55"/>
  <c r="M7" i="55" s="1"/>
  <c r="AH6" i="55"/>
  <c r="AH7" i="55" s="1"/>
  <c r="AK6" i="55"/>
  <c r="AK7" i="55" s="1"/>
  <c r="D91" i="55"/>
  <c r="B44" i="55"/>
  <c r="N151" i="55"/>
  <c r="B43" i="55"/>
  <c r="B21" i="55"/>
  <c r="B52" i="55" s="1"/>
  <c r="D70" i="55"/>
  <c r="B53" i="55"/>
  <c r="B45" i="55"/>
  <c r="N75" i="55"/>
  <c r="N135" i="55"/>
  <c r="N140" i="55"/>
  <c r="N235" i="55"/>
  <c r="N238" i="55"/>
  <c r="N196" i="55"/>
  <c r="N195" i="55"/>
  <c r="M195" i="55"/>
  <c r="M193" i="55"/>
  <c r="M161" i="55"/>
  <c r="B51" i="55"/>
  <c r="M142" i="55"/>
  <c r="M200" i="55"/>
  <c r="N234" i="55"/>
  <c r="M234" i="55"/>
  <c r="N157" i="55"/>
  <c r="M157" i="55"/>
  <c r="N71" i="55"/>
  <c r="M71" i="55"/>
  <c r="M78" i="55"/>
  <c r="N78" i="55"/>
  <c r="M134" i="55"/>
  <c r="N134" i="55"/>
  <c r="N88" i="55"/>
  <c r="N155" i="55"/>
  <c r="D17" i="55"/>
  <c r="A33" i="55" s="1"/>
  <c r="M197" i="55"/>
  <c r="M241" i="55"/>
  <c r="N156" i="55"/>
  <c r="M203" i="55"/>
  <c r="N233" i="55"/>
  <c r="B42" i="55"/>
  <c r="A31" i="55"/>
  <c r="J6" i="55"/>
  <c r="J7" i="55" s="1"/>
  <c r="C51" i="55"/>
  <c r="C21" i="55"/>
  <c r="C52" i="55" s="1"/>
  <c r="AG7" i="55"/>
  <c r="C17" i="55"/>
  <c r="C47" i="55"/>
  <c r="V6" i="55"/>
  <c r="V7" i="55" s="1"/>
  <c r="D192" i="55"/>
  <c r="B50" i="55"/>
  <c r="L7" i="55"/>
  <c r="K6" i="55"/>
  <c r="K7" i="55" s="1"/>
  <c r="W6" i="55"/>
  <c r="W7" i="55" s="1"/>
  <c r="AI6" i="55"/>
  <c r="AI7" i="55" s="1"/>
  <c r="C192" i="55"/>
  <c r="C50" i="55"/>
  <c r="C70" i="55"/>
  <c r="A36" i="55"/>
  <c r="N6" i="55"/>
  <c r="N7" i="55" s="1"/>
  <c r="Z6" i="55"/>
  <c r="Z7" i="55" s="1"/>
  <c r="AL6" i="55"/>
  <c r="AL7" i="55" s="1"/>
  <c r="B46" i="55"/>
  <c r="O6" i="55"/>
  <c r="O7" i="55" s="1"/>
  <c r="AA6" i="55"/>
  <c r="AA7" i="55" s="1"/>
  <c r="AM6" i="55"/>
  <c r="AM7" i="55" s="1"/>
  <c r="B41" i="55"/>
  <c r="C46" i="55"/>
  <c r="P6" i="55"/>
  <c r="P7" i="55" s="1"/>
  <c r="AB6" i="55"/>
  <c r="AB7" i="55" s="1"/>
  <c r="AN6" i="55"/>
  <c r="AN7" i="55" s="1"/>
  <c r="M72" i="55"/>
  <c r="N72" i="55"/>
  <c r="Q6" i="55"/>
  <c r="Q7" i="55" s="1"/>
  <c r="AC6" i="55"/>
  <c r="AC7" i="55" s="1"/>
  <c r="AO6" i="55"/>
  <c r="AO7" i="55" s="1"/>
  <c r="R6" i="55"/>
  <c r="R7" i="55" s="1"/>
  <c r="AD6" i="55"/>
  <c r="AD7" i="55" s="1"/>
  <c r="AP6" i="55"/>
  <c r="AP7" i="55" s="1"/>
  <c r="S6" i="55"/>
  <c r="S7" i="55" s="1"/>
  <c r="AE6" i="55"/>
  <c r="AE7" i="55" s="1"/>
  <c r="B16" i="55"/>
  <c r="M137" i="55"/>
  <c r="N137" i="55"/>
  <c r="T6" i="55"/>
  <c r="T7" i="55" s="1"/>
  <c r="AF6" i="55"/>
  <c r="AF7" i="55" s="1"/>
  <c r="U6" i="55"/>
  <c r="U7" i="55" s="1"/>
  <c r="M138" i="55"/>
  <c r="N138" i="55"/>
  <c r="N136" i="55"/>
  <c r="M136" i="55"/>
  <c r="C91" i="55"/>
  <c r="B112" i="55"/>
  <c r="N159" i="55"/>
  <c r="M159" i="55"/>
  <c r="M162" i="55"/>
  <c r="N162" i="55"/>
  <c r="M160" i="55"/>
  <c r="N160" i="55"/>
  <c r="N161" i="55"/>
  <c r="N198" i="55"/>
  <c r="N239" i="55"/>
  <c r="M239" i="55"/>
  <c r="N194" i="55"/>
  <c r="C211" i="55"/>
  <c r="D211" i="55"/>
  <c r="M243" i="55"/>
  <c r="N243" i="55"/>
  <c r="B230" i="55"/>
  <c r="N253" i="55"/>
  <c r="M253" i="55"/>
  <c r="M238" i="55" l="1"/>
  <c r="M151" i="55"/>
  <c r="M135" i="55"/>
  <c r="N142" i="55"/>
  <c r="M75" i="55"/>
  <c r="M235" i="55"/>
  <c r="M88" i="55"/>
  <c r="N81" i="55"/>
  <c r="M81" i="55"/>
  <c r="N203" i="55"/>
  <c r="D18" i="55"/>
  <c r="A34" i="55" s="1"/>
  <c r="M236" i="55"/>
  <c r="N236" i="55"/>
  <c r="M158" i="55"/>
  <c r="N158" i="55"/>
  <c r="M163" i="55"/>
  <c r="N163" i="55"/>
  <c r="N74" i="55"/>
  <c r="M74" i="55"/>
  <c r="D112" i="55"/>
  <c r="B133" i="55"/>
  <c r="C112" i="55"/>
  <c r="N201" i="55"/>
  <c r="M201" i="55"/>
  <c r="D230" i="55"/>
  <c r="C230" i="55"/>
  <c r="M237" i="55"/>
  <c r="N237" i="55"/>
  <c r="N199" i="55"/>
  <c r="M199" i="55"/>
  <c r="N79" i="55"/>
  <c r="M79" i="55"/>
  <c r="N139" i="55"/>
  <c r="M139" i="55"/>
  <c r="C48" i="55"/>
  <c r="C18" i="55"/>
  <c r="C49" i="55" s="1"/>
  <c r="N240" i="55"/>
  <c r="M240" i="55"/>
  <c r="N165" i="55"/>
  <c r="M165" i="55"/>
  <c r="N73" i="55"/>
  <c r="M73" i="55"/>
  <c r="M141" i="55"/>
  <c r="N141" i="55"/>
  <c r="B17" i="55"/>
  <c r="B47" i="55"/>
  <c r="N76" i="55"/>
  <c r="M76" i="55"/>
  <c r="M144" i="55"/>
  <c r="N144" i="55"/>
  <c r="N77" i="55"/>
  <c r="M77" i="55"/>
  <c r="B18" i="55" l="1"/>
  <c r="B48" i="55"/>
  <c r="C133" i="55"/>
  <c r="B154" i="55"/>
  <c r="D133" i="55"/>
  <c r="C154" i="55" l="1"/>
  <c r="B173" i="55"/>
  <c r="D154" i="55"/>
  <c r="B49" i="55"/>
  <c r="C173" i="55" l="1"/>
  <c r="D173" i="55"/>
  <c r="B86" i="47" l="1"/>
  <c r="B85" i="47"/>
  <c r="B84" i="47"/>
  <c r="E36" i="29" l="1"/>
  <c r="E24" i="29" l="1"/>
  <c r="F84" i="47"/>
  <c r="F85" i="47"/>
  <c r="A37" i="37" l="1"/>
  <c r="E10" i="29" l="1"/>
  <c r="F10" i="29" s="1"/>
  <c r="G10" i="29" s="1"/>
  <c r="H10" i="29" s="1"/>
  <c r="J10" i="29"/>
  <c r="K10" i="29" s="1"/>
  <c r="B49" i="29"/>
  <c r="C49" i="29"/>
  <c r="E49" i="29"/>
  <c r="F49" i="29"/>
  <c r="G49" i="29"/>
  <c r="H49" i="29"/>
  <c r="I49" i="29"/>
  <c r="B50" i="29"/>
  <c r="C50" i="29"/>
  <c r="E50" i="29"/>
  <c r="F50" i="29"/>
  <c r="G50" i="29"/>
  <c r="H50" i="29"/>
  <c r="I50" i="29"/>
  <c r="E23" i="29"/>
  <c r="J17" i="29" s="1"/>
  <c r="J18" i="29"/>
  <c r="E22" i="29"/>
  <c r="J16" i="29" s="1"/>
  <c r="L10" i="29" l="1"/>
  <c r="Q10" i="29"/>
  <c r="R10" i="29" s="1"/>
  <c r="J23" i="29" l="1"/>
  <c r="J49" i="29" s="1"/>
  <c r="J24" i="29"/>
  <c r="J50" i="29" s="1"/>
  <c r="A30" i="27"/>
  <c r="B30" i="27"/>
  <c r="C30" i="27"/>
  <c r="B22" i="29" s="1"/>
  <c r="D48" i="29" s="1"/>
  <c r="D30" i="27"/>
  <c r="C22" i="29" s="1"/>
  <c r="E30" i="27"/>
  <c r="F30" i="27"/>
  <c r="A31" i="27"/>
  <c r="B31" i="27"/>
  <c r="C31" i="27"/>
  <c r="B23" i="29" s="1"/>
  <c r="D49" i="29" s="1"/>
  <c r="D31" i="27"/>
  <c r="C23" i="29" s="1"/>
  <c r="E31" i="27"/>
  <c r="F31" i="27"/>
  <c r="A32" i="27"/>
  <c r="B32" i="27"/>
  <c r="C32" i="27"/>
  <c r="B24" i="29" s="1"/>
  <c r="D50" i="29" s="1"/>
  <c r="D32" i="27"/>
  <c r="C24" i="29" s="1"/>
  <c r="E32" i="27"/>
  <c r="F32" i="27"/>
  <c r="A33" i="27"/>
  <c r="B33" i="27"/>
  <c r="C33" i="27"/>
  <c r="D33" i="27"/>
  <c r="E33" i="27"/>
  <c r="F33" i="27"/>
  <c r="E84" i="47" l="1"/>
  <c r="E85" i="47"/>
  <c r="AN44" i="29" l="1"/>
  <c r="AN43" i="29"/>
  <c r="I51" i="29" l="1"/>
  <c r="H51" i="29"/>
  <c r="G51" i="29"/>
  <c r="F51" i="29"/>
  <c r="E51" i="29"/>
  <c r="C51" i="29"/>
  <c r="B51" i="29"/>
  <c r="I48" i="29"/>
  <c r="H48" i="29"/>
  <c r="G48" i="29"/>
  <c r="F48" i="29"/>
  <c r="E48" i="29"/>
  <c r="C48" i="29"/>
  <c r="B48" i="29"/>
  <c r="I47" i="29"/>
  <c r="H47" i="29"/>
  <c r="G47" i="29"/>
  <c r="F47" i="29"/>
  <c r="E47" i="29"/>
  <c r="C47" i="29"/>
  <c r="B47" i="29"/>
  <c r="AP44" i="29"/>
  <c r="AO44" i="29"/>
  <c r="AM44" i="29"/>
  <c r="AL44" i="29"/>
  <c r="AK44" i="29"/>
  <c r="AJ44" i="29"/>
  <c r="AI44" i="29"/>
  <c r="AH44" i="29"/>
  <c r="AG44" i="29"/>
  <c r="AF44" i="29"/>
  <c r="AE44" i="29"/>
  <c r="AD44" i="29"/>
  <c r="AC44" i="29"/>
  <c r="AB44" i="29"/>
  <c r="AA44" i="29"/>
  <c r="Z44" i="29"/>
  <c r="Y44" i="29"/>
  <c r="X44" i="29"/>
  <c r="W44" i="29"/>
  <c r="V44" i="29"/>
  <c r="U44" i="29"/>
  <c r="T44" i="29"/>
  <c r="S44" i="29"/>
  <c r="R44" i="29"/>
  <c r="Q44" i="29"/>
  <c r="P44" i="29"/>
  <c r="O44" i="29"/>
  <c r="N44" i="29"/>
  <c r="M44" i="29"/>
  <c r="L44" i="29"/>
  <c r="K44" i="29"/>
  <c r="J44" i="29"/>
  <c r="H44" i="29"/>
  <c r="G44" i="29"/>
  <c r="F44" i="29"/>
  <c r="D44" i="29"/>
  <c r="C44" i="29"/>
  <c r="AN45" i="29" s="1"/>
  <c r="AN46" i="29" s="1"/>
  <c r="AP43" i="29"/>
  <c r="AO43" i="29"/>
  <c r="AM43" i="29"/>
  <c r="AL43" i="29"/>
  <c r="AK43" i="29"/>
  <c r="AJ43" i="29"/>
  <c r="AI43" i="29"/>
  <c r="AH43" i="29"/>
  <c r="AG43" i="29"/>
  <c r="AF43" i="29"/>
  <c r="AE43" i="29"/>
  <c r="AD43" i="29"/>
  <c r="AC43" i="29"/>
  <c r="AB43" i="29"/>
  <c r="AA43" i="29"/>
  <c r="Z43" i="29"/>
  <c r="Y43" i="29"/>
  <c r="X43" i="29"/>
  <c r="W43" i="29"/>
  <c r="V43" i="29"/>
  <c r="U43" i="29"/>
  <c r="T43" i="29"/>
  <c r="S43" i="29"/>
  <c r="R43" i="29"/>
  <c r="Q43" i="29"/>
  <c r="P43" i="29"/>
  <c r="O43" i="29"/>
  <c r="N43" i="29"/>
  <c r="M43" i="29"/>
  <c r="L43" i="29"/>
  <c r="K43" i="29"/>
  <c r="J43" i="29"/>
  <c r="J3" i="29"/>
  <c r="F81" i="47"/>
  <c r="F135" i="47"/>
  <c r="E135"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L52" i="52" s="1"/>
  <c r="K18" i="52"/>
  <c r="J18" i="52"/>
  <c r="I18" i="52"/>
  <c r="I52" i="52" s="1"/>
  <c r="H18" i="52"/>
  <c r="H52" i="52" s="1"/>
  <c r="G18" i="52"/>
  <c r="F18" i="52"/>
  <c r="E18" i="52"/>
  <c r="D18" i="52"/>
  <c r="S17" i="52"/>
  <c r="R17" i="52"/>
  <c r="Q17" i="52"/>
  <c r="P17" i="52"/>
  <c r="P51" i="52" s="1"/>
  <c r="O17" i="52"/>
  <c r="N17" i="52"/>
  <c r="M17" i="52"/>
  <c r="M51" i="52" s="1"/>
  <c r="L17" i="52"/>
  <c r="L51" i="52" s="1"/>
  <c r="K17" i="52"/>
  <c r="J17" i="52"/>
  <c r="I17" i="52"/>
  <c r="H17" i="52"/>
  <c r="G17" i="52"/>
  <c r="F17" i="52"/>
  <c r="E17" i="52"/>
  <c r="D17" i="52"/>
  <c r="D51" i="52" s="1"/>
  <c r="S16" i="52"/>
  <c r="R16" i="52"/>
  <c r="Q16" i="52"/>
  <c r="Q50" i="52" s="1"/>
  <c r="P16" i="52"/>
  <c r="O16" i="52"/>
  <c r="N16" i="52"/>
  <c r="M16" i="52"/>
  <c r="L16" i="52"/>
  <c r="K16" i="52"/>
  <c r="J16" i="52"/>
  <c r="I16" i="52"/>
  <c r="H16" i="52"/>
  <c r="H50" i="52" s="1"/>
  <c r="G16" i="52"/>
  <c r="F16" i="52"/>
  <c r="E16" i="52"/>
  <c r="E50" i="52" s="1"/>
  <c r="D16" i="52"/>
  <c r="D50" i="52" s="1"/>
  <c r="S15" i="52"/>
  <c r="R15" i="52"/>
  <c r="Q15" i="52"/>
  <c r="P15" i="52"/>
  <c r="O15" i="52"/>
  <c r="N15" i="52"/>
  <c r="M15" i="52"/>
  <c r="L15" i="52"/>
  <c r="L49" i="52" s="1"/>
  <c r="K15" i="52"/>
  <c r="K49" i="52" s="1"/>
  <c r="J15" i="52"/>
  <c r="I15" i="52"/>
  <c r="I49" i="52" s="1"/>
  <c r="H15" i="52"/>
  <c r="G15" i="52"/>
  <c r="F15" i="52"/>
  <c r="E15" i="52"/>
  <c r="D15" i="52"/>
  <c r="S14" i="52"/>
  <c r="R14" i="52"/>
  <c r="Q14" i="52"/>
  <c r="P14" i="52"/>
  <c r="P48" i="52" s="1"/>
  <c r="O14" i="52"/>
  <c r="O48" i="52" s="1"/>
  <c r="N14" i="52"/>
  <c r="M14" i="52"/>
  <c r="M48" i="52" s="1"/>
  <c r="L14" i="52"/>
  <c r="L48" i="52" s="1"/>
  <c r="K14" i="52"/>
  <c r="J14" i="52"/>
  <c r="I14" i="52"/>
  <c r="H14" i="52"/>
  <c r="G14" i="52"/>
  <c r="F14" i="52"/>
  <c r="E14" i="52"/>
  <c r="D14" i="52"/>
  <c r="D48" i="52" s="1"/>
  <c r="S13" i="52"/>
  <c r="R13" i="52"/>
  <c r="Q13" i="52"/>
  <c r="Q47" i="52" s="1"/>
  <c r="P13" i="52"/>
  <c r="P47" i="52" s="1"/>
  <c r="O13" i="52"/>
  <c r="N13" i="52"/>
  <c r="M13" i="52"/>
  <c r="L13" i="52"/>
  <c r="K13" i="52"/>
  <c r="J13" i="52"/>
  <c r="I13" i="52"/>
  <c r="H13" i="52"/>
  <c r="H47" i="52" s="1"/>
  <c r="G13" i="52"/>
  <c r="F13" i="52"/>
  <c r="E13" i="52"/>
  <c r="E47" i="52" s="1"/>
  <c r="D13" i="52"/>
  <c r="D47" i="52" s="1"/>
  <c r="S12" i="52"/>
  <c r="R12" i="52"/>
  <c r="Q12" i="52"/>
  <c r="P12" i="52"/>
  <c r="O12" i="52"/>
  <c r="N12" i="52"/>
  <c r="M12" i="52"/>
  <c r="L12" i="52"/>
  <c r="L46" i="52" s="1"/>
  <c r="K12" i="52"/>
  <c r="J12" i="52"/>
  <c r="I12" i="52"/>
  <c r="I46" i="52" s="1"/>
  <c r="H12" i="52"/>
  <c r="H46" i="52" s="1"/>
  <c r="G12" i="52"/>
  <c r="F12" i="52"/>
  <c r="E12" i="52"/>
  <c r="D12" i="52"/>
  <c r="S11" i="52"/>
  <c r="R11" i="52"/>
  <c r="Q11" i="52"/>
  <c r="P11" i="52"/>
  <c r="P45" i="52" s="1"/>
  <c r="O11" i="52"/>
  <c r="N11" i="52"/>
  <c r="M11" i="52"/>
  <c r="M45" i="52" s="1"/>
  <c r="L11" i="52"/>
  <c r="K11" i="52"/>
  <c r="J11" i="52"/>
  <c r="I11" i="52"/>
  <c r="H11" i="52"/>
  <c r="G11" i="52"/>
  <c r="F11" i="52"/>
  <c r="E11" i="52"/>
  <c r="D11" i="52"/>
  <c r="D45" i="52" s="1"/>
  <c r="S10" i="52"/>
  <c r="R10" i="52"/>
  <c r="Q10" i="52"/>
  <c r="Q44" i="52" s="1"/>
  <c r="P10" i="52"/>
  <c r="P44" i="52" s="1"/>
  <c r="O10" i="52"/>
  <c r="N10" i="52"/>
  <c r="M10" i="52"/>
  <c r="L10" i="52"/>
  <c r="K10" i="52"/>
  <c r="J10" i="52"/>
  <c r="I10" i="52"/>
  <c r="H10" i="52"/>
  <c r="H44" i="52" s="1"/>
  <c r="G10" i="52"/>
  <c r="F10" i="52"/>
  <c r="E10" i="52"/>
  <c r="E44" i="52" s="1"/>
  <c r="D10" i="52"/>
  <c r="D44" i="52" s="1"/>
  <c r="S9" i="52"/>
  <c r="R9" i="52"/>
  <c r="Q9" i="52"/>
  <c r="P9" i="52"/>
  <c r="O9" i="52"/>
  <c r="N9" i="52"/>
  <c r="M9" i="52"/>
  <c r="L9" i="52"/>
  <c r="L43" i="52" s="1"/>
  <c r="K9" i="52"/>
  <c r="J9" i="52"/>
  <c r="I9" i="52"/>
  <c r="I43" i="52" s="1"/>
  <c r="H9" i="52"/>
  <c r="H43" i="52" s="1"/>
  <c r="G9" i="52"/>
  <c r="F9" i="52"/>
  <c r="E9" i="52"/>
  <c r="D9" i="52"/>
  <c r="S8" i="52"/>
  <c r="R8" i="52"/>
  <c r="Q8" i="52"/>
  <c r="P8" i="52"/>
  <c r="P42" i="52" s="1"/>
  <c r="O8" i="52"/>
  <c r="N8" i="52"/>
  <c r="M8" i="52"/>
  <c r="M42" i="52" s="1"/>
  <c r="L8" i="52"/>
  <c r="L42" i="52" s="1"/>
  <c r="K8" i="52"/>
  <c r="J8" i="52"/>
  <c r="I8" i="52"/>
  <c r="H8" i="52"/>
  <c r="G8" i="52"/>
  <c r="F8" i="52"/>
  <c r="E8" i="52"/>
  <c r="D8" i="52"/>
  <c r="D42" i="52" s="1"/>
  <c r="S7" i="52"/>
  <c r="R7" i="52"/>
  <c r="Q7" i="52"/>
  <c r="Q41" i="52" s="1"/>
  <c r="P7" i="52"/>
  <c r="P41" i="52" s="1"/>
  <c r="O7" i="52"/>
  <c r="N7" i="52"/>
  <c r="M7" i="52"/>
  <c r="L7" i="52"/>
  <c r="K7" i="52"/>
  <c r="J7" i="52"/>
  <c r="I7" i="52"/>
  <c r="H7" i="52"/>
  <c r="H41" i="52" s="1"/>
  <c r="G7" i="52"/>
  <c r="F7" i="52"/>
  <c r="E7" i="52"/>
  <c r="E41" i="52" s="1"/>
  <c r="D7" i="52"/>
  <c r="D41" i="52" s="1"/>
  <c r="S6" i="52"/>
  <c r="R6" i="52"/>
  <c r="Q6" i="52"/>
  <c r="P6" i="52"/>
  <c r="O6" i="52"/>
  <c r="N6" i="52"/>
  <c r="M6" i="52"/>
  <c r="L6" i="52"/>
  <c r="L40" i="52" s="1"/>
  <c r="K6" i="52"/>
  <c r="K40" i="52" s="1"/>
  <c r="J6" i="52"/>
  <c r="I6" i="52"/>
  <c r="I40" i="52" s="1"/>
  <c r="H6" i="52"/>
  <c r="H40" i="52" s="1"/>
  <c r="G6" i="52"/>
  <c r="F6" i="52"/>
  <c r="E6" i="52"/>
  <c r="D6" i="52"/>
  <c r="S5" i="52"/>
  <c r="R5" i="52"/>
  <c r="Q5" i="52"/>
  <c r="P5" i="52"/>
  <c r="P39" i="52" s="1"/>
  <c r="O5" i="52"/>
  <c r="O39" i="52" s="1"/>
  <c r="N5" i="52"/>
  <c r="M5" i="52"/>
  <c r="M39" i="52" s="1"/>
  <c r="L5" i="52"/>
  <c r="L39" i="52" s="1"/>
  <c r="K5" i="52"/>
  <c r="J5" i="52"/>
  <c r="I5" i="52"/>
  <c r="H5" i="52"/>
  <c r="G5" i="52"/>
  <c r="F5" i="52"/>
  <c r="E5" i="52"/>
  <c r="D5" i="52"/>
  <c r="D39" i="52" s="1"/>
  <c r="S4" i="52"/>
  <c r="R4" i="52"/>
  <c r="Q4" i="52"/>
  <c r="Q38" i="52" s="1"/>
  <c r="P4" i="52"/>
  <c r="P38" i="52" s="1"/>
  <c r="O4" i="52"/>
  <c r="N4" i="52"/>
  <c r="M4" i="52"/>
  <c r="L4" i="52"/>
  <c r="K4" i="52"/>
  <c r="J4" i="52"/>
  <c r="I4" i="52"/>
  <c r="H4" i="52"/>
  <c r="H38" i="52" s="1"/>
  <c r="G4" i="52"/>
  <c r="F4" i="52"/>
  <c r="E4" i="52"/>
  <c r="E38" i="52" s="1"/>
  <c r="D4" i="52"/>
  <c r="S3" i="52"/>
  <c r="R3" i="52"/>
  <c r="Q3" i="52"/>
  <c r="P3" i="52"/>
  <c r="O3" i="52"/>
  <c r="N3" i="52"/>
  <c r="M3" i="52"/>
  <c r="L3" i="52"/>
  <c r="L37" i="52" s="1"/>
  <c r="K3" i="52"/>
  <c r="J3" i="52"/>
  <c r="I3" i="52"/>
  <c r="I37" i="52" s="1"/>
  <c r="H3" i="52"/>
  <c r="H37" i="52" s="1"/>
  <c r="G3" i="52"/>
  <c r="F3" i="52"/>
  <c r="E3" i="52"/>
  <c r="D3" i="52"/>
  <c r="S2" i="52"/>
  <c r="R2" i="52"/>
  <c r="Q2" i="52"/>
  <c r="P2" i="52"/>
  <c r="P36" i="52" s="1"/>
  <c r="O2" i="52"/>
  <c r="N2" i="52"/>
  <c r="M2" i="52"/>
  <c r="M36" i="52" s="1"/>
  <c r="L2" i="52"/>
  <c r="L36" i="52" s="1"/>
  <c r="K2" i="52"/>
  <c r="J2" i="52"/>
  <c r="I2" i="52"/>
  <c r="H2" i="52"/>
  <c r="G2" i="52"/>
  <c r="F2" i="52"/>
  <c r="E2" i="52"/>
  <c r="D2" i="52"/>
  <c r="D36" i="52" s="1"/>
  <c r="D8" i="29"/>
  <c r="D14" i="29" s="1"/>
  <c r="E8" i="29"/>
  <c r="E14" i="29" s="1"/>
  <c r="F8" i="29"/>
  <c r="F14" i="29" s="1"/>
  <c r="G8" i="29"/>
  <c r="G14" i="29" s="1"/>
  <c r="H8" i="29"/>
  <c r="H14"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8" i="44"/>
  <c r="B9" i="44" s="1"/>
  <c r="B10" i="44" s="1"/>
  <c r="B11" i="44" s="1"/>
  <c r="B12" i="44" s="1"/>
  <c r="B13" i="44" s="1"/>
  <c r="B14" i="44" s="1"/>
  <c r="B15" i="44" s="1"/>
  <c r="B16" i="44" s="1"/>
  <c r="B17" i="44" s="1"/>
  <c r="B18" i="44" s="1"/>
  <c r="B19" i="44" s="1"/>
  <c r="B20" i="44" s="1"/>
  <c r="B21" i="44" s="1"/>
  <c r="B22" i="44" s="1"/>
  <c r="B23" i="44" s="1"/>
  <c r="B24" i="44" s="1"/>
  <c r="B25" i="44" s="1"/>
  <c r="B26" i="44" s="1"/>
  <c r="B27" i="44" s="1"/>
  <c r="B28" i="44" s="1"/>
  <c r="B29" i="44" s="1"/>
  <c r="B30" i="44" s="1"/>
  <c r="B31" i="44" s="1"/>
  <c r="B32" i="44" s="1"/>
  <c r="B33" i="44" s="1"/>
  <c r="B34"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AO10" i="44" s="1"/>
  <c r="AO11" i="44" s="1"/>
  <c r="AO12" i="44" s="1"/>
  <c r="AO13" i="44" s="1"/>
  <c r="AO14" i="44" s="1"/>
  <c r="AO15" i="44" s="1"/>
  <c r="AO16" i="44" s="1"/>
  <c r="AO17" i="44" s="1"/>
  <c r="AO18" i="44" s="1"/>
  <c r="AO19" i="44" s="1"/>
  <c r="AO20" i="44" s="1"/>
  <c r="AO21" i="44" s="1"/>
  <c r="AO22"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F63" i="47"/>
  <c r="F64" i="47"/>
  <c r="F65" i="47"/>
  <c r="F66" i="47"/>
  <c r="F67" i="47"/>
  <c r="F68" i="47"/>
  <c r="F69" i="47"/>
  <c r="F70" i="47"/>
  <c r="F71" i="47"/>
  <c r="F72" i="47"/>
  <c r="F73" i="47"/>
  <c r="F74" i="47"/>
  <c r="F75" i="47"/>
  <c r="F76" i="47"/>
  <c r="F77" i="47"/>
  <c r="F78" i="47"/>
  <c r="F79" i="47"/>
  <c r="F80" i="47"/>
  <c r="F82" i="47"/>
  <c r="F86" i="47"/>
  <c r="F88" i="47"/>
  <c r="F87" i="47"/>
  <c r="F83" i="47"/>
  <c r="E83" i="47" s="1"/>
  <c r="F97" i="47"/>
  <c r="F99" i="47"/>
  <c r="F98" i="47"/>
  <c r="F100" i="47"/>
  <c r="E100" i="47" s="1"/>
  <c r="F101" i="47"/>
  <c r="E101" i="47" s="1"/>
  <c r="F102" i="47"/>
  <c r="E102" i="47" s="1"/>
  <c r="F103" i="47"/>
  <c r="E103" i="47" s="1"/>
  <c r="G103" i="47" s="1"/>
  <c r="F104" i="47"/>
  <c r="E104" i="47" s="1"/>
  <c r="F105" i="47"/>
  <c r="E105" i="47" s="1"/>
  <c r="G105" i="47" s="1"/>
  <c r="F106" i="47"/>
  <c r="E106" i="47" s="1"/>
  <c r="F107" i="47"/>
  <c r="E107" i="47" s="1"/>
  <c r="G107" i="47" s="1"/>
  <c r="F108" i="47"/>
  <c r="F109" i="47"/>
  <c r="F110" i="47"/>
  <c r="F111" i="47"/>
  <c r="F112" i="47"/>
  <c r="F113" i="47"/>
  <c r="F114" i="47"/>
  <c r="F115" i="47"/>
  <c r="F116" i="47"/>
  <c r="F117" i="47"/>
  <c r="F118" i="47"/>
  <c r="F119" i="47"/>
  <c r="F120" i="47"/>
  <c r="F121" i="47"/>
  <c r="F122" i="47"/>
  <c r="F123" i="47"/>
  <c r="F124" i="47"/>
  <c r="F125" i="47"/>
  <c r="F126" i="47"/>
  <c r="F127" i="47"/>
  <c r="E127" i="47" s="1"/>
  <c r="F128" i="47"/>
  <c r="E128" i="47" s="1"/>
  <c r="F129" i="47"/>
  <c r="E129" i="47" s="1"/>
  <c r="F130" i="47"/>
  <c r="E130" i="47" s="1"/>
  <c r="F131" i="47"/>
  <c r="E131" i="47" s="1"/>
  <c r="F132" i="47"/>
  <c r="E132" i="47" s="1"/>
  <c r="F133" i="47"/>
  <c r="E133" i="47" s="1"/>
  <c r="F134" i="47"/>
  <c r="E134" i="47" s="1"/>
  <c r="F5" i="47"/>
  <c r="A1" i="35"/>
  <c r="E9" i="29"/>
  <c r="F9" i="29" s="1"/>
  <c r="G9" i="29" s="1"/>
  <c r="H9" i="29" s="1"/>
  <c r="J9" i="29"/>
  <c r="K9" i="29" s="1"/>
  <c r="E11" i="29"/>
  <c r="F11" i="29" s="1"/>
  <c r="G11" i="29" s="1"/>
  <c r="H11" i="29" s="1"/>
  <c r="J11" i="29"/>
  <c r="K11" i="29" s="1"/>
  <c r="D16" i="29"/>
  <c r="E16" i="29" s="1"/>
  <c r="F16" i="29" s="1"/>
  <c r="G16" i="29" s="1"/>
  <c r="H16" i="29" s="1"/>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L45" i="52"/>
  <c r="O38" i="52"/>
  <c r="Q52" i="52"/>
  <c r="M41" i="52"/>
  <c r="E108" i="47"/>
  <c r="D38" i="52"/>
  <c r="H49" i="52"/>
  <c r="P50" i="52"/>
  <c r="E33" i="29"/>
  <c r="J33" i="29" s="1"/>
  <c r="M33" i="29" s="1"/>
  <c r="N33" i="29" s="1"/>
  <c r="O33" i="29" s="1"/>
  <c r="P33" i="29" s="1"/>
  <c r="Q33" i="29" s="1"/>
  <c r="R33" i="29" s="1"/>
  <c r="J36" i="29"/>
  <c r="Q37" i="52" l="1"/>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J19" i="57"/>
  <c r="J20" i="57"/>
  <c r="G106" i="47"/>
  <c r="G104" i="47"/>
  <c r="J51" i="29"/>
  <c r="G108" i="47" s="1"/>
  <c r="M36" i="29"/>
  <c r="J47" i="29"/>
  <c r="G83" i="47" s="1"/>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G19" i="57"/>
  <c r="G20" i="57"/>
  <c r="M10" i="58"/>
  <c r="L10" i="58"/>
  <c r="D35" i="44"/>
  <c r="K10" i="58"/>
  <c r="K9" i="55"/>
  <c r="G3" i="56"/>
  <c r="L9" i="55"/>
  <c r="M9" i="55"/>
  <c r="F11" i="57"/>
  <c r="E45" i="52"/>
  <c r="Q45" i="52"/>
  <c r="I50" i="52"/>
  <c r="E51" i="52"/>
  <c r="D7" i="56"/>
  <c r="D9" i="56"/>
  <c r="D8" i="56"/>
  <c r="G15" i="55"/>
  <c r="G19" i="55"/>
  <c r="G10" i="55"/>
  <c r="G22" i="55"/>
  <c r="G14" i="55"/>
  <c r="G13" i="55"/>
  <c r="G20" i="55"/>
  <c r="G12" i="55"/>
  <c r="G21" i="55"/>
  <c r="G16" i="55"/>
  <c r="G17" i="55"/>
  <c r="G18" i="55"/>
  <c r="C97" i="56"/>
  <c r="C81" i="56" s="1"/>
  <c r="C31" i="56"/>
  <c r="C54" i="56" s="1"/>
  <c r="D114" i="56"/>
  <c r="M114" i="56" s="1"/>
  <c r="D140" i="56"/>
  <c r="B16" i="56"/>
  <c r="D147" i="56"/>
  <c r="D121" i="56"/>
  <c r="M121" i="56" s="1"/>
  <c r="B23" i="56"/>
  <c r="D149" i="56"/>
  <c r="D123" i="56"/>
  <c r="M123" i="56" s="1"/>
  <c r="B25" i="56"/>
  <c r="C29" i="56"/>
  <c r="C52" i="56" s="1"/>
  <c r="C95" i="56"/>
  <c r="C79" i="56" s="1"/>
  <c r="B21" i="56"/>
  <c r="D145" i="56"/>
  <c r="D119" i="56"/>
  <c r="M119" i="56" s="1"/>
  <c r="C102" i="56"/>
  <c r="C86" i="56" s="1"/>
  <c r="C36" i="56"/>
  <c r="C59" i="56" s="1"/>
  <c r="D138" i="56"/>
  <c r="D112" i="56"/>
  <c r="M112" i="56" s="1"/>
  <c r="B14" i="56"/>
  <c r="B39" i="56" s="1"/>
  <c r="B46" i="56" s="1"/>
  <c r="C100" i="56"/>
  <c r="C84" i="56" s="1"/>
  <c r="C34" i="56"/>
  <c r="C57" i="56" s="1"/>
  <c r="C39" i="56"/>
  <c r="C46" i="56" s="1"/>
  <c r="C93" i="56"/>
  <c r="C77" i="56" s="1"/>
  <c r="B19" i="56"/>
  <c r="D143" i="56"/>
  <c r="D117" i="56"/>
  <c r="M117" i="56" s="1"/>
  <c r="C98" i="56"/>
  <c r="C82" i="56" s="1"/>
  <c r="C32" i="56"/>
  <c r="C55" i="56" s="1"/>
  <c r="B17" i="56"/>
  <c r="D141" i="56"/>
  <c r="D115" i="56"/>
  <c r="M115" i="56" s="1"/>
  <c r="C96" i="56"/>
  <c r="C80" i="56" s="1"/>
  <c r="C30" i="56"/>
  <c r="C53" i="56" s="1"/>
  <c r="D146" i="56"/>
  <c r="D120" i="56"/>
  <c r="M120" i="56" s="1"/>
  <c r="B22" i="56"/>
  <c r="D148" i="56"/>
  <c r="D122" i="56"/>
  <c r="M122" i="56" s="1"/>
  <c r="B24" i="56"/>
  <c r="B40" i="56" s="1"/>
  <c r="B47" i="56" s="1"/>
  <c r="D139" i="56"/>
  <c r="D113" i="56"/>
  <c r="M113" i="56" s="1"/>
  <c r="B15" i="56"/>
  <c r="C101" i="56"/>
  <c r="C85" i="56" s="1"/>
  <c r="C35" i="56"/>
  <c r="C58" i="56" s="1"/>
  <c r="C103" i="56"/>
  <c r="C87" i="56" s="1"/>
  <c r="C40" i="56"/>
  <c r="C47" i="56" s="1"/>
  <c r="B18" i="56"/>
  <c r="D142" i="56"/>
  <c r="D116" i="56"/>
  <c r="M116" i="56" s="1"/>
  <c r="C94" i="56"/>
  <c r="C78" i="56" s="1"/>
  <c r="C28" i="56"/>
  <c r="C51" i="56" s="1"/>
  <c r="B20" i="56"/>
  <c r="D144" i="56"/>
  <c r="D118" i="56"/>
  <c r="M118" i="56" s="1"/>
  <c r="D137" i="56"/>
  <c r="D111" i="56"/>
  <c r="M111" i="56" s="1"/>
  <c r="B13" i="56"/>
  <c r="C99" i="56"/>
  <c r="C83" i="56" s="1"/>
  <c r="C33" i="56"/>
  <c r="C56" i="56" s="1"/>
  <c r="J41" i="52"/>
  <c r="J44" i="52"/>
  <c r="N46" i="52"/>
  <c r="J50" i="52"/>
  <c r="N52" i="52"/>
  <c r="F36" i="52"/>
  <c r="R36" i="52"/>
  <c r="N37" i="52"/>
  <c r="J38" i="52"/>
  <c r="F39" i="52"/>
  <c r="N40" i="52"/>
  <c r="F42" i="52"/>
  <c r="R42" i="52"/>
  <c r="N43" i="52"/>
  <c r="F45" i="52"/>
  <c r="R45" i="52"/>
  <c r="J47" i="52"/>
  <c r="F48" i="52"/>
  <c r="R48" i="52"/>
  <c r="N49" i="52"/>
  <c r="F51" i="52"/>
  <c r="R51" i="52"/>
  <c r="G128" i="47"/>
  <c r="H128" i="47"/>
  <c r="I128" i="47"/>
  <c r="J128" i="47"/>
  <c r="K128" i="47"/>
  <c r="L128" i="47"/>
  <c r="G129" i="47"/>
  <c r="H129" i="47"/>
  <c r="I129" i="47"/>
  <c r="J129" i="47"/>
  <c r="K129" i="47"/>
  <c r="L129" i="47"/>
  <c r="E36" i="52"/>
  <c r="Q36" i="52"/>
  <c r="M37" i="52"/>
  <c r="I38" i="52"/>
  <c r="E39" i="52"/>
  <c r="Q39" i="52"/>
  <c r="M40" i="52"/>
  <c r="I41" i="52"/>
  <c r="E42" i="52"/>
  <c r="Q42" i="52"/>
  <c r="M43" i="52"/>
  <c r="I44" i="52"/>
  <c r="M46" i="52"/>
  <c r="I47" i="52"/>
  <c r="E48" i="52"/>
  <c r="Q48" i="52"/>
  <c r="M49" i="52"/>
  <c r="Q51" i="52"/>
  <c r="M52" i="52"/>
  <c r="E86" i="47"/>
  <c r="G86" i="47" s="1"/>
  <c r="K3" i="29"/>
  <c r="Q11" i="29"/>
  <c r="R11" i="29" s="1"/>
  <c r="L11" i="29"/>
  <c r="Q9" i="29"/>
  <c r="R9" i="29" s="1"/>
  <c r="L9" i="29"/>
  <c r="U45" i="29"/>
  <c r="U46" i="29" s="1"/>
  <c r="AF45" i="29"/>
  <c r="AF46" i="29" s="1"/>
  <c r="S45" i="29"/>
  <c r="S46" i="29" s="1"/>
  <c r="Q45" i="29"/>
  <c r="Q46" i="29" s="1"/>
  <c r="AO45" i="29"/>
  <c r="AO46" i="29" s="1"/>
  <c r="V45" i="29"/>
  <c r="V46" i="29" s="1"/>
  <c r="G25" i="35"/>
  <c r="E25" i="35"/>
  <c r="H25" i="35"/>
  <c r="F25" i="35"/>
  <c r="B25" i="35"/>
  <c r="I25" i="35"/>
  <c r="B22" i="35"/>
  <c r="I23" i="35"/>
  <c r="G24" i="35"/>
  <c r="E23" i="35"/>
  <c r="E5" i="47"/>
  <c r="G5" i="47" s="1"/>
  <c r="AA45" i="29"/>
  <c r="AA46" i="29" s="1"/>
  <c r="Z45" i="29"/>
  <c r="Z46" i="29" s="1"/>
  <c r="M45" i="29"/>
  <c r="M46" i="29" s="1"/>
  <c r="AD45" i="29"/>
  <c r="AD46" i="29" s="1"/>
  <c r="AB45" i="29"/>
  <c r="AB46" i="29" s="1"/>
  <c r="O45" i="29"/>
  <c r="O46" i="29" s="1"/>
  <c r="N45" i="29"/>
  <c r="N46" i="29" s="1"/>
  <c r="L45" i="29"/>
  <c r="L46" i="29" s="1"/>
  <c r="AI45" i="29"/>
  <c r="AI46" i="29" s="1"/>
  <c r="W45" i="29"/>
  <c r="W46" i="29" s="1"/>
  <c r="J45" i="29"/>
  <c r="J46" i="29" s="1"/>
  <c r="AE45" i="29"/>
  <c r="AE46" i="29" s="1"/>
  <c r="AC45" i="29"/>
  <c r="AC46" i="29" s="1"/>
  <c r="P45" i="29"/>
  <c r="P46" i="29" s="1"/>
  <c r="X45" i="29"/>
  <c r="X46" i="29" s="1"/>
  <c r="AK45" i="29"/>
  <c r="AK46" i="29" s="1"/>
  <c r="T45" i="29"/>
  <c r="T46" i="29" s="1"/>
  <c r="K45" i="29"/>
  <c r="K46" i="29" s="1"/>
  <c r="AM45" i="29"/>
  <c r="AM46" i="29" s="1"/>
  <c r="AL45" i="29"/>
  <c r="AL46" i="29" s="1"/>
  <c r="Y45" i="29"/>
  <c r="Y46" i="29" s="1"/>
  <c r="R45" i="29"/>
  <c r="R46" i="29" s="1"/>
  <c r="AH45" i="29"/>
  <c r="AH46" i="29" s="1"/>
  <c r="AG45" i="29"/>
  <c r="AG46" i="29" s="1"/>
  <c r="AP45" i="29"/>
  <c r="AP46" i="29" s="1"/>
  <c r="AJ45" i="29"/>
  <c r="AJ46" i="29" s="1"/>
  <c r="I26" i="35"/>
  <c r="K36" i="52"/>
  <c r="G37" i="52"/>
  <c r="S37" i="52"/>
  <c r="K39" i="52"/>
  <c r="G40" i="52"/>
  <c r="S40" i="52"/>
  <c r="O41" i="52"/>
  <c r="K42" i="52"/>
  <c r="G43" i="52"/>
  <c r="S43" i="52"/>
  <c r="O44" i="52"/>
  <c r="K45" i="52"/>
  <c r="G46" i="52"/>
  <c r="S46" i="52"/>
  <c r="O47" i="52"/>
  <c r="K48" i="52"/>
  <c r="G49" i="52"/>
  <c r="S49" i="52"/>
  <c r="K51" i="52"/>
  <c r="G52" i="52"/>
  <c r="S52" i="52"/>
  <c r="J22" i="29"/>
  <c r="C26" i="35"/>
  <c r="F26" i="35"/>
  <c r="B26" i="35"/>
  <c r="E26" i="35"/>
  <c r="G26" i="35"/>
  <c r="D28" i="29"/>
  <c r="D5" i="29"/>
  <c r="D6" i="35"/>
  <c r="L53" i="52"/>
  <c r="G22" i="35"/>
  <c r="H22" i="35"/>
  <c r="F22" i="35"/>
  <c r="B23" i="35"/>
  <c r="G23" i="35"/>
  <c r="I22" i="35"/>
  <c r="H23" i="35"/>
  <c r="F23" i="35"/>
  <c r="C22" i="35"/>
  <c r="B24" i="35"/>
  <c r="I24" i="35"/>
  <c r="C24" i="35"/>
  <c r="F24" i="35"/>
  <c r="E24" i="35"/>
  <c r="E9" i="47"/>
  <c r="E8" i="47"/>
  <c r="E7" i="47"/>
  <c r="E6" i="47"/>
  <c r="P53" i="52" l="1"/>
  <c r="H53" i="52"/>
  <c r="D53" i="52"/>
  <c r="H20" i="57"/>
  <c r="F15" i="57"/>
  <c r="F13" i="57"/>
  <c r="X13" i="57" s="1"/>
  <c r="F14" i="57"/>
  <c r="H19" i="57"/>
  <c r="K8" i="56"/>
  <c r="S8" i="56" s="1"/>
  <c r="AA8" i="56" s="1"/>
  <c r="I8" i="56"/>
  <c r="Q8" i="56" s="1"/>
  <c r="Y8" i="56" s="1"/>
  <c r="K9" i="56"/>
  <c r="S9" i="56" s="1"/>
  <c r="AA9" i="56" s="1"/>
  <c r="I9" i="56"/>
  <c r="Q9" i="56" s="1"/>
  <c r="Y9" i="56" s="1"/>
  <c r="K7" i="56"/>
  <c r="I7" i="56"/>
  <c r="N53" i="52"/>
  <c r="E97" i="47"/>
  <c r="G35" i="44"/>
  <c r="N10" i="58"/>
  <c r="D25" i="44"/>
  <c r="D26" i="44" s="1"/>
  <c r="E25" i="44"/>
  <c r="F25" i="44"/>
  <c r="N9" i="55"/>
  <c r="E35" i="44"/>
  <c r="F35" i="44"/>
  <c r="E89" i="47"/>
  <c r="F53" i="52"/>
  <c r="E98" i="47"/>
  <c r="E92" i="47"/>
  <c r="G11" i="55"/>
  <c r="J148" i="56"/>
  <c r="J137" i="56"/>
  <c r="N111" i="56"/>
  <c r="B54" i="56"/>
  <c r="B31" i="56"/>
  <c r="J138" i="56"/>
  <c r="N112" i="56"/>
  <c r="J149" i="56"/>
  <c r="N123" i="56"/>
  <c r="E99" i="47"/>
  <c r="B35" i="56"/>
  <c r="B58" i="56"/>
  <c r="E94" i="47"/>
  <c r="J146" i="56"/>
  <c r="N120" i="56"/>
  <c r="J143" i="56"/>
  <c r="N117" i="56"/>
  <c r="E96" i="47"/>
  <c r="B36" i="56"/>
  <c r="B59" i="56"/>
  <c r="J147" i="56"/>
  <c r="J144" i="56"/>
  <c r="N118" i="56"/>
  <c r="B32" i="56"/>
  <c r="B55" i="56"/>
  <c r="J145" i="56"/>
  <c r="N119" i="56"/>
  <c r="B52" i="56"/>
  <c r="B29" i="56"/>
  <c r="B56" i="56"/>
  <c r="B33" i="56"/>
  <c r="B51" i="56"/>
  <c r="B28" i="56"/>
  <c r="J139" i="56"/>
  <c r="N113" i="56"/>
  <c r="J141" i="56"/>
  <c r="N115" i="56"/>
  <c r="E95" i="47"/>
  <c r="B57" i="56"/>
  <c r="B34" i="56"/>
  <c r="J140" i="56"/>
  <c r="N114" i="56"/>
  <c r="E88" i="47"/>
  <c r="E90" i="47"/>
  <c r="E91" i="47"/>
  <c r="B53" i="56"/>
  <c r="B30" i="56"/>
  <c r="J142" i="56"/>
  <c r="N116" i="56"/>
  <c r="E93" i="47"/>
  <c r="E87" i="47"/>
  <c r="E53" i="52"/>
  <c r="J53" i="52"/>
  <c r="Q53" i="52"/>
  <c r="I53" i="52"/>
  <c r="R53" i="52"/>
  <c r="M53" i="52"/>
  <c r="G131" i="47"/>
  <c r="H131" i="47"/>
  <c r="I131" i="47"/>
  <c r="J131" i="47"/>
  <c r="K131" i="47"/>
  <c r="L131" i="47"/>
  <c r="G133" i="47"/>
  <c r="H133" i="47"/>
  <c r="I133" i="47"/>
  <c r="J133" i="47"/>
  <c r="K133" i="47"/>
  <c r="L133" i="47"/>
  <c r="L127" i="47"/>
  <c r="K127" i="47"/>
  <c r="J127" i="47"/>
  <c r="I127" i="47"/>
  <c r="H127" i="47"/>
  <c r="G127" i="47"/>
  <c r="G130" i="47"/>
  <c r="H130" i="47"/>
  <c r="I130" i="47"/>
  <c r="J130" i="47"/>
  <c r="K130" i="47"/>
  <c r="L130" i="47"/>
  <c r="G134" i="47"/>
  <c r="H134" i="47"/>
  <c r="I134" i="47"/>
  <c r="J134" i="47"/>
  <c r="K134" i="47"/>
  <c r="L134" i="47"/>
  <c r="G135" i="47"/>
  <c r="H135" i="47"/>
  <c r="I135" i="47"/>
  <c r="J135" i="47"/>
  <c r="K135" i="47"/>
  <c r="L135" i="47"/>
  <c r="G37" i="47"/>
  <c r="J37" i="47"/>
  <c r="K37" i="47"/>
  <c r="L37" i="47"/>
  <c r="G35" i="47"/>
  <c r="J35" i="47"/>
  <c r="K35" i="47"/>
  <c r="L35" i="47"/>
  <c r="J38" i="47"/>
  <c r="K38" i="47"/>
  <c r="L38" i="47"/>
  <c r="G38" i="47"/>
  <c r="G36" i="47"/>
  <c r="J36" i="47"/>
  <c r="K36" i="47"/>
  <c r="L36" i="47"/>
  <c r="G32" i="47"/>
  <c r="J32" i="47"/>
  <c r="K32" i="47"/>
  <c r="L32" i="47"/>
  <c r="G39" i="47"/>
  <c r="J39" i="47"/>
  <c r="K39" i="47"/>
  <c r="L39" i="47"/>
  <c r="J34" i="47"/>
  <c r="K34" i="47"/>
  <c r="L34" i="47"/>
  <c r="G34" i="47"/>
  <c r="G33" i="47"/>
  <c r="J33" i="47"/>
  <c r="K33" i="47"/>
  <c r="L33" i="47"/>
  <c r="G40" i="47"/>
  <c r="J40" i="47"/>
  <c r="K40" i="47"/>
  <c r="L40" i="47"/>
  <c r="G41" i="47"/>
  <c r="J41" i="47"/>
  <c r="K41" i="47"/>
  <c r="L41" i="47"/>
  <c r="G31" i="47"/>
  <c r="J31" i="47"/>
  <c r="K31" i="47"/>
  <c r="L31" i="47"/>
  <c r="K53" i="52"/>
  <c r="G85" i="47"/>
  <c r="G53" i="52"/>
  <c r="J48" i="29"/>
  <c r="G84" i="47" s="1"/>
  <c r="S53" i="52"/>
  <c r="O53" i="52"/>
  <c r="K47" i="29"/>
  <c r="M47" i="29"/>
  <c r="G6" i="47"/>
  <c r="G8" i="47"/>
  <c r="G9" i="47"/>
  <c r="G7" i="47"/>
  <c r="Q7" i="56" l="1"/>
  <c r="Y7" i="56" s="1"/>
  <c r="Z47" i="57"/>
  <c r="Q47" i="57"/>
  <c r="H47" i="57" s="1"/>
  <c r="S7" i="56"/>
  <c r="AA7" i="56" s="1"/>
  <c r="AB47" i="57"/>
  <c r="S47" i="57"/>
  <c r="J47" i="57" s="1"/>
  <c r="X14" i="57"/>
  <c r="O14" i="57"/>
  <c r="O13" i="57"/>
  <c r="X15" i="57"/>
  <c r="O15" i="57"/>
  <c r="O86" i="57" s="1"/>
  <c r="G92" i="47"/>
  <c r="F16" i="57"/>
  <c r="G89" i="47"/>
  <c r="G94" i="47"/>
  <c r="G88" i="47"/>
  <c r="G90" i="47"/>
  <c r="G93" i="47"/>
  <c r="G95" i="47"/>
  <c r="G96" i="47"/>
  <c r="G87" i="47"/>
  <c r="G91" i="47"/>
  <c r="K186" i="56"/>
  <c r="G97" i="47"/>
  <c r="K188" i="56"/>
  <c r="G99" i="47"/>
  <c r="K187" i="56"/>
  <c r="G98" i="47"/>
  <c r="R47" i="29"/>
  <c r="S47" i="29" s="1"/>
  <c r="P83" i="47" s="1"/>
  <c r="F26" i="44"/>
  <c r="O9" i="55"/>
  <c r="E26" i="44"/>
  <c r="G25" i="44"/>
  <c r="G26" i="44" s="1"/>
  <c r="H35" i="44"/>
  <c r="O10" i="58"/>
  <c r="O23" i="58" s="1"/>
  <c r="G11" i="57"/>
  <c r="H3" i="56"/>
  <c r="K140" i="56"/>
  <c r="H90" i="47" s="1"/>
  <c r="O114" i="56"/>
  <c r="K138" i="56"/>
  <c r="H88" i="47" s="1"/>
  <c r="O112" i="56"/>
  <c r="K145" i="56"/>
  <c r="H95" i="47" s="1"/>
  <c r="O119" i="56"/>
  <c r="K143" i="56"/>
  <c r="H93" i="47" s="1"/>
  <c r="O117" i="56"/>
  <c r="K146" i="56"/>
  <c r="H96" i="47" s="1"/>
  <c r="O120" i="56"/>
  <c r="K137" i="56"/>
  <c r="H87" i="47" s="1"/>
  <c r="O111" i="56"/>
  <c r="K142" i="56"/>
  <c r="H92" i="47" s="1"/>
  <c r="O116" i="56"/>
  <c r="K141" i="56"/>
  <c r="H91" i="47" s="1"/>
  <c r="O115" i="56"/>
  <c r="K139" i="56"/>
  <c r="H89" i="47" s="1"/>
  <c r="O113" i="56"/>
  <c r="K144" i="56"/>
  <c r="H94" i="47" s="1"/>
  <c r="O118" i="56"/>
  <c r="K149" i="56"/>
  <c r="O123" i="56"/>
  <c r="L3" i="29"/>
  <c r="M11" i="55"/>
  <c r="F7" i="56"/>
  <c r="E47" i="57" s="1"/>
  <c r="J13" i="55"/>
  <c r="J14" i="55"/>
  <c r="C33" i="44"/>
  <c r="N47" i="29"/>
  <c r="K83" i="47" s="1"/>
  <c r="H83" i="47"/>
  <c r="L47" i="29"/>
  <c r="I83" i="47" s="1"/>
  <c r="AB47" i="29"/>
  <c r="F86" i="57" l="1"/>
  <c r="X86" i="57"/>
  <c r="O16" i="57"/>
  <c r="O75" i="57"/>
  <c r="G13" i="57"/>
  <c r="G15" i="57"/>
  <c r="G14" i="57"/>
  <c r="L142" i="56"/>
  <c r="I92" i="47" s="1"/>
  <c r="P116" i="56"/>
  <c r="L146" i="56"/>
  <c r="I96" i="47" s="1"/>
  <c r="P120" i="56"/>
  <c r="L144" i="56"/>
  <c r="I94" i="47" s="1"/>
  <c r="P118" i="56"/>
  <c r="L143" i="56"/>
  <c r="I93" i="47" s="1"/>
  <c r="P117" i="56"/>
  <c r="L137" i="56"/>
  <c r="I87" i="47" s="1"/>
  <c r="P111" i="56"/>
  <c r="L139" i="56"/>
  <c r="I89" i="47" s="1"/>
  <c r="P113" i="56"/>
  <c r="L145" i="56"/>
  <c r="I95" i="47" s="1"/>
  <c r="P119" i="56"/>
  <c r="L140" i="56"/>
  <c r="I90" i="47" s="1"/>
  <c r="P114" i="56"/>
  <c r="L149" i="56"/>
  <c r="M188" i="56" s="1"/>
  <c r="P123" i="56"/>
  <c r="L141" i="56"/>
  <c r="I91" i="47" s="1"/>
  <c r="P115" i="56"/>
  <c r="L138" i="56"/>
  <c r="I88" i="47" s="1"/>
  <c r="P112" i="56"/>
  <c r="L188" i="56"/>
  <c r="H99" i="47"/>
  <c r="F74" i="58"/>
  <c r="F70" i="58"/>
  <c r="F72" i="58"/>
  <c r="O30" i="58"/>
  <c r="F71" i="58"/>
  <c r="N24" i="58"/>
  <c r="M24" i="58" s="1"/>
  <c r="L24" i="58" s="1"/>
  <c r="K24" i="58" s="1"/>
  <c r="J24" i="58" s="1"/>
  <c r="F78" i="58"/>
  <c r="F75" i="58"/>
  <c r="F73" i="58"/>
  <c r="P30" i="58"/>
  <c r="Q30" i="58"/>
  <c r="R30" i="58"/>
  <c r="S30" i="58"/>
  <c r="T30" i="58"/>
  <c r="U30" i="58"/>
  <c r="V30" i="58"/>
  <c r="W30" i="58"/>
  <c r="X30" i="58"/>
  <c r="Y30" i="58"/>
  <c r="Z30" i="58"/>
  <c r="AA30" i="58"/>
  <c r="AB30" i="58"/>
  <c r="AC30" i="58"/>
  <c r="AD30" i="58"/>
  <c r="AE30" i="58"/>
  <c r="AF30" i="58"/>
  <c r="AG30" i="58"/>
  <c r="AH30" i="58"/>
  <c r="AI30" i="58"/>
  <c r="AJ30" i="58"/>
  <c r="AK30" i="58"/>
  <c r="AL30" i="58"/>
  <c r="AM30" i="58"/>
  <c r="AN30" i="58"/>
  <c r="AO30" i="58"/>
  <c r="AP30" i="58"/>
  <c r="AQ30" i="58"/>
  <c r="AR30" i="58"/>
  <c r="AS30" i="58"/>
  <c r="AT30" i="58"/>
  <c r="AU30" i="58"/>
  <c r="AV30" i="58"/>
  <c r="J83" i="47"/>
  <c r="H25" i="44"/>
  <c r="H26" i="44" s="1"/>
  <c r="I35" i="44"/>
  <c r="P10" i="58"/>
  <c r="P9" i="55"/>
  <c r="M13" i="55"/>
  <c r="M14" i="55"/>
  <c r="J5" i="29"/>
  <c r="E15" i="57"/>
  <c r="M19" i="55"/>
  <c r="J19" i="55"/>
  <c r="M22" i="55"/>
  <c r="J22" i="55"/>
  <c r="G7" i="56"/>
  <c r="J11" i="55"/>
  <c r="M20" i="55"/>
  <c r="M21" i="55"/>
  <c r="J21" i="55"/>
  <c r="J20" i="55"/>
  <c r="F9" i="56"/>
  <c r="J12" i="55"/>
  <c r="J15" i="55"/>
  <c r="J18" i="55"/>
  <c r="J17" i="55"/>
  <c r="J16" i="55"/>
  <c r="M12" i="55"/>
  <c r="G9" i="56"/>
  <c r="F8" i="56"/>
  <c r="I104" i="56" s="1"/>
  <c r="S88" i="56" s="1"/>
  <c r="AA88" i="56" s="1"/>
  <c r="J10" i="55"/>
  <c r="M18" i="55"/>
  <c r="M15" i="55"/>
  <c r="M16" i="55"/>
  <c r="M17" i="55"/>
  <c r="G8" i="56"/>
  <c r="M10" i="55"/>
  <c r="G19" i="47"/>
  <c r="K19" i="47"/>
  <c r="J19" i="47"/>
  <c r="L19" i="47"/>
  <c r="O47" i="29"/>
  <c r="P47" i="29" s="1"/>
  <c r="J28" i="29"/>
  <c r="K6" i="35"/>
  <c r="N6" i="35"/>
  <c r="C32" i="44"/>
  <c r="E14" i="57" s="1"/>
  <c r="C31" i="44"/>
  <c r="E13" i="57" s="1"/>
  <c r="K13" i="55"/>
  <c r="K19" i="55"/>
  <c r="K28" i="29"/>
  <c r="K5" i="29"/>
  <c r="K18" i="29" s="1"/>
  <c r="N12" i="55"/>
  <c r="T47" i="29"/>
  <c r="Q83" i="47" s="1"/>
  <c r="AL47" i="29"/>
  <c r="AC47" i="29"/>
  <c r="Z83" i="47" s="1"/>
  <c r="P8" i="56" l="1"/>
  <c r="X8" i="56" s="1"/>
  <c r="G43" i="56"/>
  <c r="P43" i="56" s="1"/>
  <c r="P7" i="56"/>
  <c r="X7" i="56" s="1"/>
  <c r="X47" i="57"/>
  <c r="O47" i="57"/>
  <c r="P9" i="56"/>
  <c r="X9" i="56" s="1"/>
  <c r="P76" i="56"/>
  <c r="P92" i="56" s="1"/>
  <c r="X92" i="56" s="1"/>
  <c r="X43" i="56"/>
  <c r="F75" i="57"/>
  <c r="X75" i="57"/>
  <c r="Y14" i="57"/>
  <c r="Y55" i="57" s="1"/>
  <c r="P14" i="57"/>
  <c r="Y15" i="57"/>
  <c r="Y56" i="57" s="1"/>
  <c r="P15" i="57"/>
  <c r="Y13" i="57"/>
  <c r="Y54" i="57" s="1"/>
  <c r="P13" i="57"/>
  <c r="I99" i="47"/>
  <c r="G16" i="57"/>
  <c r="I88" i="56"/>
  <c r="K104" i="56"/>
  <c r="M143" i="56"/>
  <c r="J93" i="47" s="1"/>
  <c r="Q117" i="56"/>
  <c r="M149" i="56"/>
  <c r="Q123" i="56"/>
  <c r="M144" i="56"/>
  <c r="J94" i="47" s="1"/>
  <c r="Q118" i="56"/>
  <c r="M139" i="56"/>
  <c r="J89" i="47" s="1"/>
  <c r="Q113" i="56"/>
  <c r="M138" i="56"/>
  <c r="J88" i="47" s="1"/>
  <c r="Q112" i="56"/>
  <c r="M140" i="56"/>
  <c r="J90" i="47" s="1"/>
  <c r="Q114" i="56"/>
  <c r="M146" i="56"/>
  <c r="J96" i="47" s="1"/>
  <c r="Q120" i="56"/>
  <c r="M141" i="56"/>
  <c r="J91" i="47" s="1"/>
  <c r="Q115" i="56"/>
  <c r="M145" i="56"/>
  <c r="J95" i="47" s="1"/>
  <c r="Q119" i="56"/>
  <c r="M142" i="56"/>
  <c r="J92" i="47" s="1"/>
  <c r="Q116" i="56"/>
  <c r="M137" i="56"/>
  <c r="J87" i="47" s="1"/>
  <c r="Q111" i="56"/>
  <c r="G48" i="56"/>
  <c r="P48" i="56" s="1"/>
  <c r="X48" i="56" s="1"/>
  <c r="P23" i="58"/>
  <c r="P14" i="58"/>
  <c r="O73" i="58"/>
  <c r="G73" i="58"/>
  <c r="F84" i="58"/>
  <c r="K73" i="58"/>
  <c r="K165" i="58" s="1"/>
  <c r="O75" i="58"/>
  <c r="F86" i="58"/>
  <c r="G75" i="58"/>
  <c r="K75" i="58"/>
  <c r="K167" i="58" s="1"/>
  <c r="G78" i="58"/>
  <c r="K78" i="58"/>
  <c r="K170" i="58" s="1"/>
  <c r="O78" i="58"/>
  <c r="F89" i="58"/>
  <c r="O71" i="58"/>
  <c r="G71" i="58"/>
  <c r="F82" i="58"/>
  <c r="K71" i="58"/>
  <c r="K163" i="58" s="1"/>
  <c r="O31" i="58"/>
  <c r="O34" i="58" s="1"/>
  <c r="O72" i="58"/>
  <c r="G72" i="58"/>
  <c r="K72" i="58"/>
  <c r="K164" i="58" s="1"/>
  <c r="F83" i="58"/>
  <c r="G70" i="58"/>
  <c r="F81" i="58"/>
  <c r="O70" i="58"/>
  <c r="K70" i="58"/>
  <c r="K162" i="58" s="1"/>
  <c r="G74" i="58"/>
  <c r="O74" i="58"/>
  <c r="F85" i="58"/>
  <c r="K74" i="58"/>
  <c r="K166" i="58" s="1"/>
  <c r="G60" i="56"/>
  <c r="I25" i="44"/>
  <c r="I26" i="44" s="1"/>
  <c r="J35" i="44"/>
  <c r="Q10" i="58"/>
  <c r="E81" i="57"/>
  <c r="E108" i="57"/>
  <c r="E55" i="57"/>
  <c r="E97" i="57"/>
  <c r="K12" i="55"/>
  <c r="E56" i="57"/>
  <c r="E109" i="57"/>
  <c r="E101" i="57"/>
  <c r="E86" i="57"/>
  <c r="E93" i="57"/>
  <c r="E16" i="57"/>
  <c r="E54" i="57"/>
  <c r="E107" i="57"/>
  <c r="E75" i="57"/>
  <c r="N14" i="55"/>
  <c r="K22" i="55"/>
  <c r="K38" i="55" s="1"/>
  <c r="N19" i="55"/>
  <c r="N13" i="55"/>
  <c r="N15" i="55"/>
  <c r="N16" i="55"/>
  <c r="N18" i="55"/>
  <c r="N17" i="55"/>
  <c r="K18" i="55"/>
  <c r="K17" i="55"/>
  <c r="K16" i="55"/>
  <c r="K15" i="55"/>
  <c r="K35" i="55"/>
  <c r="K21" i="55"/>
  <c r="K20" i="55"/>
  <c r="K29" i="55"/>
  <c r="K14" i="55"/>
  <c r="K10" i="55"/>
  <c r="K11" i="55"/>
  <c r="N22" i="55"/>
  <c r="N176" i="56"/>
  <c r="L176" i="56"/>
  <c r="M176" i="56" s="1"/>
  <c r="N21" i="55"/>
  <c r="N20" i="55"/>
  <c r="N10" i="55"/>
  <c r="N11" i="55"/>
  <c r="G14" i="47"/>
  <c r="L14" i="47"/>
  <c r="K14" i="47"/>
  <c r="J14" i="47"/>
  <c r="G18" i="47"/>
  <c r="L18" i="47"/>
  <c r="K18" i="47"/>
  <c r="J18" i="47"/>
  <c r="G16" i="47"/>
  <c r="K16" i="47"/>
  <c r="J16" i="47"/>
  <c r="L16" i="47"/>
  <c r="G15" i="47"/>
  <c r="L15" i="47"/>
  <c r="K15" i="47"/>
  <c r="J15" i="47"/>
  <c r="G10" i="47"/>
  <c r="K10" i="47"/>
  <c r="J10" i="47"/>
  <c r="L10" i="47"/>
  <c r="G13" i="47"/>
  <c r="K13" i="47"/>
  <c r="J13" i="47"/>
  <c r="L13" i="47"/>
  <c r="G20" i="47"/>
  <c r="L20" i="47"/>
  <c r="K20" i="47"/>
  <c r="J20" i="47"/>
  <c r="G17" i="47"/>
  <c r="L17" i="47"/>
  <c r="K17" i="47"/>
  <c r="J17" i="47"/>
  <c r="G11" i="47"/>
  <c r="L11" i="47"/>
  <c r="K11" i="47"/>
  <c r="J11" i="47"/>
  <c r="G12" i="47"/>
  <c r="L12" i="47"/>
  <c r="K12" i="47"/>
  <c r="J12" i="47"/>
  <c r="K36" i="29"/>
  <c r="K51" i="29" s="1"/>
  <c r="K24" i="29"/>
  <c r="K17" i="29"/>
  <c r="K16" i="29"/>
  <c r="L83" i="47"/>
  <c r="L19" i="55"/>
  <c r="L22" i="55"/>
  <c r="M6" i="35"/>
  <c r="L6" i="35"/>
  <c r="O19" i="55"/>
  <c r="H7" i="56"/>
  <c r="O6" i="35"/>
  <c r="O13" i="55"/>
  <c r="U47" i="29"/>
  <c r="V47" i="29" s="1"/>
  <c r="AD47" i="29"/>
  <c r="AA83" i="47" s="1"/>
  <c r="M83" i="47"/>
  <c r="Q47" i="29"/>
  <c r="F47" i="57" l="1"/>
  <c r="O49" i="57"/>
  <c r="H43" i="56"/>
  <c r="I43" i="56" s="1"/>
  <c r="Y47" i="57"/>
  <c r="P47" i="57"/>
  <c r="G47" i="57" s="1"/>
  <c r="G51" i="56"/>
  <c r="P60" i="56"/>
  <c r="K88" i="56"/>
  <c r="U88" i="56"/>
  <c r="AC88" i="56" s="1"/>
  <c r="E161" i="57"/>
  <c r="Y16" i="57"/>
  <c r="P16" i="57"/>
  <c r="P107" i="57"/>
  <c r="P93" i="57"/>
  <c r="G93" i="57" s="1"/>
  <c r="P75" i="57"/>
  <c r="G75" i="57" s="1"/>
  <c r="P54" i="57"/>
  <c r="G54" i="57" s="1"/>
  <c r="P56" i="57"/>
  <c r="G56" i="57" s="1"/>
  <c r="P86" i="57"/>
  <c r="G86" i="57" s="1"/>
  <c r="P101" i="57"/>
  <c r="G101" i="57" s="1"/>
  <c r="P109" i="57"/>
  <c r="G109" i="57" s="1"/>
  <c r="P81" i="57"/>
  <c r="G81" i="57" s="1"/>
  <c r="P108" i="57"/>
  <c r="G108" i="57" s="1"/>
  <c r="P55" i="57"/>
  <c r="G55" i="57" s="1"/>
  <c r="P97" i="57"/>
  <c r="G97" i="57" s="1"/>
  <c r="N142" i="56"/>
  <c r="K92" i="47" s="1"/>
  <c r="R116" i="56"/>
  <c r="O142" i="56" s="1"/>
  <c r="L92" i="47" s="1"/>
  <c r="N139" i="56"/>
  <c r="K89" i="47" s="1"/>
  <c r="R113" i="56"/>
  <c r="O139" i="56" s="1"/>
  <c r="L89" i="47" s="1"/>
  <c r="N137" i="56"/>
  <c r="K87" i="47" s="1"/>
  <c r="R111" i="56"/>
  <c r="O137" i="56" s="1"/>
  <c r="L87" i="47" s="1"/>
  <c r="N145" i="56"/>
  <c r="K95" i="47" s="1"/>
  <c r="R119" i="56"/>
  <c r="O145" i="56" s="1"/>
  <c r="L95" i="47" s="1"/>
  <c r="N144" i="56"/>
  <c r="K94" i="47" s="1"/>
  <c r="R118" i="56"/>
  <c r="O144" i="56" s="1"/>
  <c r="L94" i="47" s="1"/>
  <c r="N140" i="56"/>
  <c r="K90" i="47" s="1"/>
  <c r="R114" i="56"/>
  <c r="O140" i="56" s="1"/>
  <c r="L90" i="47" s="1"/>
  <c r="N141" i="56"/>
  <c r="K91" i="47" s="1"/>
  <c r="R115" i="56"/>
  <c r="O141" i="56" s="1"/>
  <c r="L91" i="47" s="1"/>
  <c r="N149" i="56"/>
  <c r="R123" i="56"/>
  <c r="O149" i="56" s="1"/>
  <c r="N188" i="56"/>
  <c r="J99" i="47"/>
  <c r="N138" i="56"/>
  <c r="K88" i="47" s="1"/>
  <c r="R112" i="56"/>
  <c r="O138" i="56" s="1"/>
  <c r="L88" i="47" s="1"/>
  <c r="N146" i="56"/>
  <c r="K96" i="47" s="1"/>
  <c r="R120" i="56"/>
  <c r="O146" i="56" s="1"/>
  <c r="L96" i="47" s="1"/>
  <c r="N143" i="56"/>
  <c r="K93" i="47" s="1"/>
  <c r="R117" i="56"/>
  <c r="O143" i="56" s="1"/>
  <c r="L93" i="47" s="1"/>
  <c r="L16" i="29"/>
  <c r="M16" i="29" s="1"/>
  <c r="K22" i="29"/>
  <c r="G59" i="56"/>
  <c r="G86" i="56" s="1"/>
  <c r="G53" i="56"/>
  <c r="N180" i="56" s="1"/>
  <c r="L74" i="58"/>
  <c r="L166" i="58" s="1"/>
  <c r="L73" i="58"/>
  <c r="L165" i="58" s="1"/>
  <c r="L75" i="58"/>
  <c r="L167" i="58" s="1"/>
  <c r="H74" i="58"/>
  <c r="P74" i="58"/>
  <c r="Q74" i="58" s="1"/>
  <c r="R74" i="58"/>
  <c r="L78" i="58"/>
  <c r="F100" i="58"/>
  <c r="G89" i="58"/>
  <c r="K89" i="58"/>
  <c r="O89" i="58"/>
  <c r="L71" i="58"/>
  <c r="L72" i="58"/>
  <c r="O82" i="58"/>
  <c r="F93" i="58"/>
  <c r="G82" i="58"/>
  <c r="K82" i="58"/>
  <c r="H78" i="58"/>
  <c r="P78" i="58"/>
  <c r="Q78" i="58" s="1"/>
  <c r="R78" i="58"/>
  <c r="P31" i="58"/>
  <c r="P34" i="58" s="1"/>
  <c r="P35" i="58" s="1"/>
  <c r="P36" i="58" s="1"/>
  <c r="P24" i="58"/>
  <c r="L70" i="58"/>
  <c r="F94" i="58"/>
  <c r="G83" i="58"/>
  <c r="K83" i="58"/>
  <c r="O83" i="58"/>
  <c r="H71" i="58"/>
  <c r="P71" i="58"/>
  <c r="Q71" i="58" s="1"/>
  <c r="R71" i="58"/>
  <c r="H75" i="58"/>
  <c r="P75" i="58"/>
  <c r="Q75" i="58" s="1"/>
  <c r="R75" i="58"/>
  <c r="F97" i="58"/>
  <c r="G86" i="58"/>
  <c r="K86" i="58"/>
  <c r="O86" i="58"/>
  <c r="H72" i="58"/>
  <c r="P72" i="58"/>
  <c r="Q72" i="58" s="1"/>
  <c r="R72" i="58"/>
  <c r="G84" i="58"/>
  <c r="F95" i="58"/>
  <c r="K84" i="58"/>
  <c r="O84" i="58"/>
  <c r="Q23" i="58"/>
  <c r="Q31" i="58" s="1"/>
  <c r="Q34" i="58" s="1"/>
  <c r="Q35" i="58" s="1"/>
  <c r="Q14" i="58"/>
  <c r="G81" i="58"/>
  <c r="F92" i="58"/>
  <c r="O81" i="58"/>
  <c r="K81" i="58"/>
  <c r="H73" i="58"/>
  <c r="P73" i="58"/>
  <c r="Q73" i="58" s="1"/>
  <c r="R73" i="58"/>
  <c r="G85" i="58"/>
  <c r="F96" i="58"/>
  <c r="O85" i="58"/>
  <c r="K85" i="58"/>
  <c r="H70" i="58"/>
  <c r="P70" i="58"/>
  <c r="Q70" i="58" s="1"/>
  <c r="R70" i="58"/>
  <c r="O35" i="58"/>
  <c r="F98" i="58"/>
  <c r="F99" i="58"/>
  <c r="P59" i="56"/>
  <c r="G52" i="56"/>
  <c r="L179" i="56" s="1"/>
  <c r="M179" i="56" s="1"/>
  <c r="G56" i="56"/>
  <c r="L183" i="56" s="1"/>
  <c r="M183" i="56" s="1"/>
  <c r="G58" i="56"/>
  <c r="L185" i="56" s="1"/>
  <c r="M185" i="56" s="1"/>
  <c r="G54" i="56"/>
  <c r="N181" i="56" s="1"/>
  <c r="G57" i="56"/>
  <c r="N184" i="56" s="1"/>
  <c r="G55" i="56"/>
  <c r="N182" i="56" s="1"/>
  <c r="N83" i="47"/>
  <c r="O83" i="47"/>
  <c r="E123" i="57"/>
  <c r="N3" i="29"/>
  <c r="K35" i="44"/>
  <c r="S6" i="35"/>
  <c r="R10" i="58"/>
  <c r="J25" i="44"/>
  <c r="J26" i="44" s="1"/>
  <c r="E120" i="57"/>
  <c r="O11" i="55"/>
  <c r="O10" i="55"/>
  <c r="O22" i="55"/>
  <c r="X16" i="57"/>
  <c r="H8" i="56"/>
  <c r="O93" i="57"/>
  <c r="E58" i="57"/>
  <c r="E61" i="57" s="1"/>
  <c r="E163" i="57"/>
  <c r="E162" i="57"/>
  <c r="J234" i="57" s="1"/>
  <c r="E45" i="57"/>
  <c r="E117" i="57"/>
  <c r="E116" i="57"/>
  <c r="E115" i="57"/>
  <c r="O55" i="57"/>
  <c r="F55" i="57" s="1"/>
  <c r="O108" i="57"/>
  <c r="O97" i="57"/>
  <c r="O81" i="57"/>
  <c r="E111" i="57"/>
  <c r="E151" i="57" s="1"/>
  <c r="X55" i="57"/>
  <c r="L12" i="55"/>
  <c r="L14" i="55"/>
  <c r="O14" i="55"/>
  <c r="X56" i="57"/>
  <c r="O56" i="57"/>
  <c r="F56" i="57" s="1"/>
  <c r="O101" i="57"/>
  <c r="O109" i="57"/>
  <c r="F109" i="57" s="1"/>
  <c r="E124" i="57"/>
  <c r="E125" i="57"/>
  <c r="E121" i="57"/>
  <c r="E119" i="57"/>
  <c r="L13" i="55"/>
  <c r="L5" i="29"/>
  <c r="L18" i="29" s="1"/>
  <c r="O176" i="56"/>
  <c r="P176" i="56" s="1"/>
  <c r="X76" i="56"/>
  <c r="O20" i="55"/>
  <c r="O21" i="55"/>
  <c r="H9" i="56"/>
  <c r="O12" i="55"/>
  <c r="L38" i="55"/>
  <c r="M38" i="55" s="1"/>
  <c r="N38" i="55" s="1"/>
  <c r="L15" i="55"/>
  <c r="L16" i="55"/>
  <c r="L18" i="55"/>
  <c r="L17" i="55"/>
  <c r="K26" i="55"/>
  <c r="L35" i="55"/>
  <c r="M35" i="55" s="1"/>
  <c r="N35" i="55" s="1"/>
  <c r="O35" i="55" s="1"/>
  <c r="L10" i="55"/>
  <c r="L11" i="55"/>
  <c r="N178" i="56"/>
  <c r="L178" i="56"/>
  <c r="M178" i="56" s="1"/>
  <c r="H60" i="56"/>
  <c r="I60" i="56" s="1"/>
  <c r="I55" i="56" s="1"/>
  <c r="I98" i="56" s="1"/>
  <c r="I82" i="56" s="1"/>
  <c r="H48" i="56"/>
  <c r="O16" i="55"/>
  <c r="O17" i="55"/>
  <c r="O18" i="55"/>
  <c r="O15" i="55"/>
  <c r="L21" i="55"/>
  <c r="L20" i="55"/>
  <c r="K30" i="55"/>
  <c r="G43" i="47"/>
  <c r="J43" i="47"/>
  <c r="K43" i="47"/>
  <c r="L43" i="47"/>
  <c r="J54" i="47"/>
  <c r="K54" i="47"/>
  <c r="L54" i="47"/>
  <c r="G54" i="47"/>
  <c r="G45" i="47"/>
  <c r="J45" i="47"/>
  <c r="K45" i="47"/>
  <c r="L45" i="47"/>
  <c r="J46" i="47"/>
  <c r="K46" i="47"/>
  <c r="L46" i="47"/>
  <c r="G46" i="47"/>
  <c r="G51" i="47"/>
  <c r="J51" i="47"/>
  <c r="K51" i="47"/>
  <c r="L51" i="47"/>
  <c r="G44" i="47"/>
  <c r="J44" i="47"/>
  <c r="K44" i="47"/>
  <c r="L44" i="47"/>
  <c r="G49" i="47"/>
  <c r="J49" i="47"/>
  <c r="K49" i="47"/>
  <c r="L49" i="47"/>
  <c r="G47" i="47"/>
  <c r="J47" i="47"/>
  <c r="K47" i="47"/>
  <c r="L47" i="47"/>
  <c r="J42" i="47"/>
  <c r="K42" i="47"/>
  <c r="L42" i="47"/>
  <c r="G42" i="47"/>
  <c r="J50" i="47"/>
  <c r="K50" i="47"/>
  <c r="L50" i="47"/>
  <c r="G50" i="47"/>
  <c r="G48" i="47"/>
  <c r="J48" i="47"/>
  <c r="K48" i="47"/>
  <c r="L48" i="47"/>
  <c r="M51" i="29"/>
  <c r="K23" i="29"/>
  <c r="P13" i="55"/>
  <c r="P6" i="35"/>
  <c r="P19" i="55"/>
  <c r="K23" i="35"/>
  <c r="H8" i="47" s="1"/>
  <c r="K25" i="35"/>
  <c r="H6" i="47" s="1"/>
  <c r="K26" i="35"/>
  <c r="H7" i="47" s="1"/>
  <c r="K24" i="35"/>
  <c r="H9" i="47" s="1"/>
  <c r="K22" i="35"/>
  <c r="H5" i="47" s="1"/>
  <c r="R83" i="47"/>
  <c r="AE47" i="29"/>
  <c r="S83" i="47"/>
  <c r="W47" i="29"/>
  <c r="K43" i="56" l="1"/>
  <c r="F49" i="57"/>
  <c r="P49" i="57" s="1"/>
  <c r="O50" i="57"/>
  <c r="X49" i="57"/>
  <c r="Y107" i="57"/>
  <c r="G107" i="57"/>
  <c r="P86" i="56"/>
  <c r="AJ78" i="56" s="1"/>
  <c r="X59" i="56"/>
  <c r="X86" i="56" s="1"/>
  <c r="X60" i="56"/>
  <c r="Q60" i="56"/>
  <c r="P51" i="56"/>
  <c r="X51" i="56" s="1"/>
  <c r="X78" i="56" s="1"/>
  <c r="K92" i="56"/>
  <c r="K76" i="56" s="1"/>
  <c r="S43" i="56"/>
  <c r="I92" i="56"/>
  <c r="I76" i="56" s="1"/>
  <c r="Q43" i="56"/>
  <c r="Y101" i="57"/>
  <c r="Y86" i="57"/>
  <c r="F101" i="57"/>
  <c r="X101" i="57"/>
  <c r="Y75" i="57"/>
  <c r="Y93" i="57"/>
  <c r="X109" i="57"/>
  <c r="Y109" i="57"/>
  <c r="F93" i="57"/>
  <c r="X93" i="57"/>
  <c r="Y97" i="57"/>
  <c r="Y81" i="57"/>
  <c r="F81" i="57"/>
  <c r="X81" i="57"/>
  <c r="F108" i="57"/>
  <c r="X108" i="57"/>
  <c r="F97" i="57"/>
  <c r="X97" i="57"/>
  <c r="Y108" i="57"/>
  <c r="X57" i="57"/>
  <c r="L180" i="56"/>
  <c r="M180" i="56" s="1"/>
  <c r="L182" i="56"/>
  <c r="M182" i="56" s="1"/>
  <c r="G102" i="56"/>
  <c r="N121" i="56" s="1"/>
  <c r="K147" i="56" s="1"/>
  <c r="H97" i="47" s="1"/>
  <c r="K60" i="56"/>
  <c r="I48" i="56"/>
  <c r="Q48" i="56" s="1"/>
  <c r="K48" i="56"/>
  <c r="P188" i="56"/>
  <c r="L99" i="47"/>
  <c r="O188" i="56"/>
  <c r="K99" i="47"/>
  <c r="L184" i="56"/>
  <c r="M184" i="56" s="1"/>
  <c r="M73" i="58"/>
  <c r="M165" i="58" s="1"/>
  <c r="L24" i="29"/>
  <c r="M18" i="29"/>
  <c r="N16" i="29"/>
  <c r="O16" i="29" s="1"/>
  <c r="O22" i="29" s="1"/>
  <c r="M22" i="29"/>
  <c r="M75" i="58"/>
  <c r="M167" i="58" s="1"/>
  <c r="P54" i="56"/>
  <c r="X54" i="56" s="1"/>
  <c r="X81" i="56" s="1"/>
  <c r="N179" i="56"/>
  <c r="M74" i="58"/>
  <c r="L181" i="56"/>
  <c r="M181" i="56" s="1"/>
  <c r="P57" i="56"/>
  <c r="P52" i="56"/>
  <c r="X52" i="56" s="1"/>
  <c r="P53" i="56"/>
  <c r="X53" i="56" s="1"/>
  <c r="P56" i="56"/>
  <c r="X56" i="56" s="1"/>
  <c r="P58" i="56"/>
  <c r="P55" i="56"/>
  <c r="I70" i="58"/>
  <c r="S70" i="58"/>
  <c r="T70" i="58" s="1"/>
  <c r="AB70" i="58"/>
  <c r="L163" i="58"/>
  <c r="M71" i="58"/>
  <c r="I72" i="58"/>
  <c r="S72" i="58"/>
  <c r="T72" i="58" s="1"/>
  <c r="AB72" i="58"/>
  <c r="L84" i="58"/>
  <c r="K189" i="58"/>
  <c r="K177" i="58"/>
  <c r="K200" i="58"/>
  <c r="K211" i="58"/>
  <c r="L85" i="58"/>
  <c r="K201" i="58"/>
  <c r="K212" i="58"/>
  <c r="K178" i="58"/>
  <c r="K190" i="58"/>
  <c r="G95" i="58"/>
  <c r="K95" i="58"/>
  <c r="K154" i="58" s="1"/>
  <c r="O95" i="58"/>
  <c r="O154" i="58" s="1"/>
  <c r="H83" i="58"/>
  <c r="P83" i="58"/>
  <c r="Q83" i="58" s="1"/>
  <c r="R83" i="58"/>
  <c r="L89" i="58"/>
  <c r="K205" i="58"/>
  <c r="K194" i="58"/>
  <c r="K182" i="58"/>
  <c r="K216" i="58"/>
  <c r="L170" i="58"/>
  <c r="M78" i="58"/>
  <c r="H84" i="58"/>
  <c r="P84" i="58"/>
  <c r="Q84" i="58" s="1"/>
  <c r="R84" i="58"/>
  <c r="G94" i="58"/>
  <c r="K94" i="58"/>
  <c r="K153" i="58" s="1"/>
  <c r="O94" i="58"/>
  <c r="O153" i="58" s="1"/>
  <c r="L82" i="58"/>
  <c r="K187" i="58"/>
  <c r="K175" i="58"/>
  <c r="K198" i="58"/>
  <c r="K209" i="58"/>
  <c r="H89" i="58"/>
  <c r="P89" i="58"/>
  <c r="Q89" i="58" s="1"/>
  <c r="R89" i="58"/>
  <c r="G96" i="58"/>
  <c r="K96" i="58"/>
  <c r="K155" i="58" s="1"/>
  <c r="O96" i="58"/>
  <c r="O155" i="58" s="1"/>
  <c r="L86" i="58"/>
  <c r="K179" i="58"/>
  <c r="K213" i="58"/>
  <c r="K202" i="58"/>
  <c r="K191" i="58"/>
  <c r="L162" i="58"/>
  <c r="M70" i="58"/>
  <c r="H82" i="58"/>
  <c r="P82" i="58"/>
  <c r="Q82" i="58" s="1"/>
  <c r="R82" i="58"/>
  <c r="K100" i="58"/>
  <c r="K159" i="58" s="1"/>
  <c r="G100" i="58"/>
  <c r="O100" i="58"/>
  <c r="O159" i="58" s="1"/>
  <c r="I74" i="58"/>
  <c r="S74" i="58"/>
  <c r="T74" i="58" s="1"/>
  <c r="AB74" i="58"/>
  <c r="N183" i="56"/>
  <c r="H85" i="58"/>
  <c r="P85" i="58"/>
  <c r="Q85" i="58" s="1"/>
  <c r="R85" i="58"/>
  <c r="H86" i="58"/>
  <c r="P86" i="58"/>
  <c r="Q86" i="58" s="1"/>
  <c r="R86" i="58"/>
  <c r="O93" i="58"/>
  <c r="O152" i="58" s="1"/>
  <c r="G93" i="58"/>
  <c r="K93" i="58"/>
  <c r="K152" i="58" s="1"/>
  <c r="G99" i="58"/>
  <c r="K99" i="58"/>
  <c r="K158" i="58" s="1"/>
  <c r="K240" i="58" s="1"/>
  <c r="K255" i="58" s="1"/>
  <c r="H116" i="47" s="1"/>
  <c r="O99" i="58"/>
  <c r="O158" i="58" s="1"/>
  <c r="L81" i="58"/>
  <c r="K208" i="58"/>
  <c r="K197" i="58"/>
  <c r="K186" i="58"/>
  <c r="K174" i="58"/>
  <c r="O97" i="58"/>
  <c r="O156" i="58" s="1"/>
  <c r="G97" i="58"/>
  <c r="K97" i="58"/>
  <c r="K156" i="58" s="1"/>
  <c r="I75" i="58"/>
  <c r="S75" i="58"/>
  <c r="T75" i="58" s="1"/>
  <c r="AB75" i="58"/>
  <c r="I78" i="58"/>
  <c r="S78" i="58"/>
  <c r="T78" i="58" s="1"/>
  <c r="AB78" i="58"/>
  <c r="K98" i="58"/>
  <c r="K157" i="58" s="1"/>
  <c r="K239" i="58" s="1"/>
  <c r="K254" i="58" s="1"/>
  <c r="H110" i="47" s="1"/>
  <c r="G98" i="58"/>
  <c r="O98" i="58"/>
  <c r="O157" i="58" s="1"/>
  <c r="Q24" i="58"/>
  <c r="L164" i="58"/>
  <c r="M72" i="58"/>
  <c r="L83" i="58"/>
  <c r="K188" i="58"/>
  <c r="K210" i="58"/>
  <c r="K199" i="58"/>
  <c r="K176" i="58"/>
  <c r="O168" i="58"/>
  <c r="O164" i="58"/>
  <c r="O162" i="58"/>
  <c r="O166" i="58"/>
  <c r="O165" i="58"/>
  <c r="O167" i="58"/>
  <c r="O163" i="58"/>
  <c r="O170" i="58"/>
  <c r="O169" i="58"/>
  <c r="O36" i="58"/>
  <c r="O41" i="58" s="1"/>
  <c r="I73" i="58"/>
  <c r="S73" i="58"/>
  <c r="T73" i="58" s="1"/>
  <c r="AB73" i="58"/>
  <c r="G92" i="58"/>
  <c r="K92" i="58"/>
  <c r="K151" i="58" s="1"/>
  <c r="O92" i="58"/>
  <c r="O151" i="58" s="1"/>
  <c r="P167" i="58"/>
  <c r="P163" i="58"/>
  <c r="P162" i="58"/>
  <c r="P165" i="58"/>
  <c r="P168" i="58"/>
  <c r="P164" i="58"/>
  <c r="P166" i="58"/>
  <c r="P170" i="58"/>
  <c r="P169" i="58"/>
  <c r="Q36" i="58"/>
  <c r="Q41" i="58" s="1"/>
  <c r="Q167" i="58"/>
  <c r="Q166" i="58"/>
  <c r="Q168" i="58"/>
  <c r="Q170" i="58"/>
  <c r="Q165" i="58"/>
  <c r="Q162" i="58"/>
  <c r="Q164" i="58"/>
  <c r="Q163" i="58"/>
  <c r="Q169" i="58"/>
  <c r="H81" i="58"/>
  <c r="P81" i="58"/>
  <c r="Q81" i="58" s="1"/>
  <c r="R81" i="58"/>
  <c r="I71" i="58"/>
  <c r="S71" i="58"/>
  <c r="T71" i="58" s="1"/>
  <c r="AB71" i="58"/>
  <c r="R14" i="58"/>
  <c r="R23" i="58"/>
  <c r="N185" i="56"/>
  <c r="O57" i="57"/>
  <c r="F57" i="57" s="1"/>
  <c r="D255" i="57"/>
  <c r="J262" i="57" s="1"/>
  <c r="E149" i="57"/>
  <c r="E188" i="57"/>
  <c r="W188" i="57" s="1"/>
  <c r="E150" i="57"/>
  <c r="E187" i="57" s="1"/>
  <c r="W187" i="57" s="1"/>
  <c r="L35" i="44"/>
  <c r="S10" i="58"/>
  <c r="K25" i="44"/>
  <c r="K26" i="44" s="1"/>
  <c r="O38" i="55"/>
  <c r="P12" i="55"/>
  <c r="D254" i="57"/>
  <c r="J261" i="57" s="1"/>
  <c r="P14" i="55"/>
  <c r="L30" i="55"/>
  <c r="M30" i="55" s="1"/>
  <c r="N30" i="55" s="1"/>
  <c r="O30" i="55" s="1"/>
  <c r="D253" i="57"/>
  <c r="J260" i="57" s="1"/>
  <c r="E129" i="57"/>
  <c r="E155" i="57" s="1"/>
  <c r="E128" i="57"/>
  <c r="E156" i="57" s="1"/>
  <c r="E193" i="57" s="1"/>
  <c r="W193" i="57" s="1"/>
  <c r="E59" i="57"/>
  <c r="E60" i="57" s="1"/>
  <c r="P11" i="55"/>
  <c r="E127" i="57"/>
  <c r="E154" i="57" s="1"/>
  <c r="P10" i="55"/>
  <c r="J233" i="57"/>
  <c r="L17" i="29"/>
  <c r="M17" i="29" s="1"/>
  <c r="L26" i="55"/>
  <c r="M26" i="55" s="1"/>
  <c r="N26" i="55" s="1"/>
  <c r="O26" i="55" s="1"/>
  <c r="L29" i="55"/>
  <c r="M29" i="55" s="1"/>
  <c r="N29" i="55" s="1"/>
  <c r="O29" i="55" s="1"/>
  <c r="P29" i="55" s="1"/>
  <c r="P22" i="55"/>
  <c r="J235" i="57"/>
  <c r="H51" i="56"/>
  <c r="H59" i="56"/>
  <c r="H56" i="56"/>
  <c r="H55" i="56"/>
  <c r="H58" i="56"/>
  <c r="H57" i="56"/>
  <c r="H54" i="56"/>
  <c r="H53" i="56"/>
  <c r="H52" i="56"/>
  <c r="O110" i="57"/>
  <c r="F110" i="57" s="1"/>
  <c r="P20" i="55"/>
  <c r="P21" i="55"/>
  <c r="P37" i="55" s="1"/>
  <c r="P16" i="55"/>
  <c r="P32" i="55" s="1"/>
  <c r="P15" i="55"/>
  <c r="P17" i="55"/>
  <c r="P33" i="55" s="1"/>
  <c r="P18" i="55"/>
  <c r="P34" i="55" s="1"/>
  <c r="P35" i="55"/>
  <c r="G132" i="47"/>
  <c r="J132" i="47"/>
  <c r="K132" i="47"/>
  <c r="L132" i="47"/>
  <c r="G23" i="47"/>
  <c r="J23" i="47"/>
  <c r="K23" i="47"/>
  <c r="L23" i="47"/>
  <c r="G29" i="47"/>
  <c r="J29" i="47"/>
  <c r="K29" i="47"/>
  <c r="L29" i="47"/>
  <c r="J26" i="47"/>
  <c r="K26" i="47"/>
  <c r="L26" i="47"/>
  <c r="G26" i="47"/>
  <c r="J22" i="47"/>
  <c r="K22" i="47"/>
  <c r="L22" i="47"/>
  <c r="G22" i="47"/>
  <c r="J30" i="47"/>
  <c r="K30" i="47"/>
  <c r="L30" i="47"/>
  <c r="G30" i="47"/>
  <c r="G57" i="47"/>
  <c r="J57" i="47"/>
  <c r="K57" i="47"/>
  <c r="L57" i="47"/>
  <c r="G21" i="47"/>
  <c r="J21" i="47"/>
  <c r="K21" i="47"/>
  <c r="L21" i="47"/>
  <c r="G56" i="47"/>
  <c r="J56" i="47"/>
  <c r="K56" i="47"/>
  <c r="L56" i="47"/>
  <c r="G25" i="47"/>
  <c r="J25" i="47"/>
  <c r="K25" i="47"/>
  <c r="L25" i="47"/>
  <c r="G55" i="47"/>
  <c r="L55" i="47"/>
  <c r="J55" i="47"/>
  <c r="K55" i="47"/>
  <c r="G28" i="47"/>
  <c r="J28" i="47"/>
  <c r="K28" i="47"/>
  <c r="L28" i="47"/>
  <c r="G53" i="47"/>
  <c r="J53" i="47"/>
  <c r="K53" i="47"/>
  <c r="L53" i="47"/>
  <c r="G52" i="47"/>
  <c r="J52" i="47"/>
  <c r="K52" i="47"/>
  <c r="L52" i="47"/>
  <c r="G60" i="47"/>
  <c r="J60" i="47"/>
  <c r="K60" i="47"/>
  <c r="L60" i="47"/>
  <c r="G27" i="47"/>
  <c r="J27" i="47"/>
  <c r="K27" i="47"/>
  <c r="L27" i="47"/>
  <c r="L59" i="47"/>
  <c r="G59" i="47"/>
  <c r="K59" i="47"/>
  <c r="J59" i="47"/>
  <c r="J58" i="47"/>
  <c r="K58" i="47"/>
  <c r="L58" i="47"/>
  <c r="G58" i="47"/>
  <c r="G61" i="47"/>
  <c r="J61" i="47"/>
  <c r="K61" i="47"/>
  <c r="L61" i="47"/>
  <c r="G24" i="47"/>
  <c r="J24" i="47"/>
  <c r="K24" i="47"/>
  <c r="L24" i="47"/>
  <c r="K50" i="29"/>
  <c r="M50" i="29"/>
  <c r="K49" i="29"/>
  <c r="M49" i="29"/>
  <c r="R32" i="57"/>
  <c r="N36" i="29"/>
  <c r="R51" i="29" s="1"/>
  <c r="T6" i="35"/>
  <c r="L51" i="29"/>
  <c r="H108" i="47"/>
  <c r="L25" i="35"/>
  <c r="I6" i="47" s="1"/>
  <c r="L23" i="35"/>
  <c r="L24" i="35"/>
  <c r="R6" i="35"/>
  <c r="Q6" i="35"/>
  <c r="L22" i="35"/>
  <c r="L26" i="35"/>
  <c r="K48" i="29"/>
  <c r="H84" i="47" s="1"/>
  <c r="M48" i="29"/>
  <c r="AB83" i="47"/>
  <c r="AF47" i="29"/>
  <c r="T83" i="47"/>
  <c r="X47" i="29"/>
  <c r="X50" i="57" l="1"/>
  <c r="O51" i="57"/>
  <c r="F50" i="57"/>
  <c r="Y49" i="57"/>
  <c r="Y57" i="57" s="1"/>
  <c r="P50" i="57"/>
  <c r="G49" i="57"/>
  <c r="Q49" i="57" s="1"/>
  <c r="N75" i="58"/>
  <c r="N167" i="58" s="1"/>
  <c r="P78" i="56"/>
  <c r="P94" i="56" s="1"/>
  <c r="X94" i="56" s="1"/>
  <c r="N73" i="58"/>
  <c r="N165" i="58" s="1"/>
  <c r="P84" i="56"/>
  <c r="P100" i="56" s="1"/>
  <c r="X100" i="56" s="1"/>
  <c r="X57" i="56"/>
  <c r="Q59" i="56"/>
  <c r="S60" i="56"/>
  <c r="Y60" i="56"/>
  <c r="Q56" i="56"/>
  <c r="Q51" i="56"/>
  <c r="Q54" i="56"/>
  <c r="Q57" i="56"/>
  <c r="Q58" i="56"/>
  <c r="Q52" i="56"/>
  <c r="Q53" i="56"/>
  <c r="Q55" i="56"/>
  <c r="AA32" i="57"/>
  <c r="AA56" i="57" s="1"/>
  <c r="I32" i="57"/>
  <c r="X55" i="56"/>
  <c r="X82" i="56" s="1"/>
  <c r="P82" i="56"/>
  <c r="P98" i="56" s="1"/>
  <c r="X98" i="56" s="1"/>
  <c r="P85" i="56"/>
  <c r="P101" i="56" s="1"/>
  <c r="X101" i="56" s="1"/>
  <c r="X58" i="56"/>
  <c r="X85" i="56" s="1"/>
  <c r="Y43" i="56"/>
  <c r="Q76" i="56"/>
  <c r="Q92" i="56" s="1"/>
  <c r="Y92" i="56" s="1"/>
  <c r="S76" i="56"/>
  <c r="S92" i="56" s="1"/>
  <c r="AA92" i="56" s="1"/>
  <c r="AA43" i="56"/>
  <c r="AA76" i="56" s="1"/>
  <c r="S48" i="56"/>
  <c r="Y48" i="56"/>
  <c r="P79" i="56"/>
  <c r="P95" i="56" s="1"/>
  <c r="X95" i="56" s="1"/>
  <c r="X110" i="57"/>
  <c r="P81" i="56"/>
  <c r="P97" i="56" s="1"/>
  <c r="X97" i="56" s="1"/>
  <c r="R87" i="57"/>
  <c r="I87" i="57" s="1"/>
  <c r="I90" i="57" s="1"/>
  <c r="R56" i="57"/>
  <c r="I56" i="57" s="1"/>
  <c r="R109" i="57"/>
  <c r="X83" i="56"/>
  <c r="P57" i="57"/>
  <c r="I51" i="56"/>
  <c r="I94" i="56" s="1"/>
  <c r="I78" i="56" s="1"/>
  <c r="I57" i="56"/>
  <c r="I100" i="56" s="1"/>
  <c r="I84" i="56" s="1"/>
  <c r="I54" i="56"/>
  <c r="I97" i="56" s="1"/>
  <c r="I81" i="56" s="1"/>
  <c r="I53" i="56"/>
  <c r="I96" i="56" s="1"/>
  <c r="I80" i="56" s="1"/>
  <c r="I52" i="56"/>
  <c r="I95" i="56" s="1"/>
  <c r="I79" i="56" s="1"/>
  <c r="I56" i="56"/>
  <c r="I99" i="56" s="1"/>
  <c r="I83" i="56" s="1"/>
  <c r="I58" i="56"/>
  <c r="I101" i="56" s="1"/>
  <c r="I85" i="56" s="1"/>
  <c r="I59" i="56"/>
  <c r="K58" i="56"/>
  <c r="K101" i="56" s="1"/>
  <c r="K85" i="56" s="1"/>
  <c r="K57" i="56"/>
  <c r="K100" i="56" s="1"/>
  <c r="K84" i="56" s="1"/>
  <c r="K53" i="56"/>
  <c r="K96" i="56" s="1"/>
  <c r="K80" i="56" s="1"/>
  <c r="K54" i="56"/>
  <c r="K97" i="56" s="1"/>
  <c r="K81" i="56" s="1"/>
  <c r="K55" i="56"/>
  <c r="K98" i="56" s="1"/>
  <c r="K82" i="56" s="1"/>
  <c r="K51" i="56"/>
  <c r="K94" i="56" s="1"/>
  <c r="K78" i="56" s="1"/>
  <c r="K52" i="56"/>
  <c r="K95" i="56" s="1"/>
  <c r="K79" i="56" s="1"/>
  <c r="K56" i="56"/>
  <c r="K99" i="56" s="1"/>
  <c r="K83" i="56" s="1"/>
  <c r="K59" i="56"/>
  <c r="X79" i="56"/>
  <c r="H21" i="57"/>
  <c r="N17" i="29"/>
  <c r="O17" i="29" s="1"/>
  <c r="O23" i="29" s="1"/>
  <c r="M23" i="29"/>
  <c r="M24" i="29"/>
  <c r="N18" i="29"/>
  <c r="O18" i="29" s="1"/>
  <c r="O24" i="29" s="1"/>
  <c r="P80" i="56"/>
  <c r="P96" i="56" s="1"/>
  <c r="X96" i="56" s="1"/>
  <c r="P83" i="56"/>
  <c r="P99" i="56" s="1"/>
  <c r="X99" i="56" s="1"/>
  <c r="K235" i="58"/>
  <c r="K250" i="58" s="1"/>
  <c r="H112" i="47" s="1"/>
  <c r="M166" i="58"/>
  <c r="N74" i="58"/>
  <c r="N166" i="58" s="1"/>
  <c r="X80" i="56"/>
  <c r="X84" i="56"/>
  <c r="L94" i="58"/>
  <c r="U72" i="58"/>
  <c r="V72" i="58" s="1"/>
  <c r="L100" i="58"/>
  <c r="L159" i="58" s="1"/>
  <c r="U73" i="58"/>
  <c r="U75" i="58"/>
  <c r="U74" i="58"/>
  <c r="AC72" i="58"/>
  <c r="AV72" i="58"/>
  <c r="L186" i="58"/>
  <c r="L208" i="58"/>
  <c r="L197" i="58"/>
  <c r="L174" i="58"/>
  <c r="M81" i="58"/>
  <c r="AC75" i="58"/>
  <c r="AV75" i="58"/>
  <c r="I82" i="58"/>
  <c r="S82" i="58"/>
  <c r="T82" i="58" s="1"/>
  <c r="U82" i="58" s="1"/>
  <c r="V82" i="58" s="1"/>
  <c r="W82" i="58" s="1"/>
  <c r="X82" i="58" s="1"/>
  <c r="Y82" i="58" s="1"/>
  <c r="Z82" i="58" s="1"/>
  <c r="AA82" i="58" s="1"/>
  <c r="AB82" i="58"/>
  <c r="L212" i="58"/>
  <c r="L201" i="58"/>
  <c r="L178" i="58"/>
  <c r="L190" i="58"/>
  <c r="M85" i="58"/>
  <c r="K236" i="58"/>
  <c r="K251" i="58" s="1"/>
  <c r="H113" i="47" s="1"/>
  <c r="M163" i="58"/>
  <c r="N71" i="58"/>
  <c r="N163" i="58" s="1"/>
  <c r="R31" i="58"/>
  <c r="R34" i="58" s="1"/>
  <c r="R35" i="58" s="1"/>
  <c r="R36" i="58" s="1"/>
  <c r="R41" i="58" s="1"/>
  <c r="AC71" i="58"/>
  <c r="AV71" i="58"/>
  <c r="L98" i="58"/>
  <c r="AC78" i="58"/>
  <c r="AV78" i="58"/>
  <c r="M162" i="58"/>
  <c r="N70" i="58"/>
  <c r="N162" i="58" s="1"/>
  <c r="P96" i="58"/>
  <c r="P155" i="58" s="1"/>
  <c r="H96" i="58"/>
  <c r="R96" i="58"/>
  <c r="I83" i="58"/>
  <c r="S83" i="58"/>
  <c r="T83" i="58" s="1"/>
  <c r="U83" i="58" s="1"/>
  <c r="V83" i="58" s="1"/>
  <c r="W83" i="58" s="1"/>
  <c r="X83" i="58" s="1"/>
  <c r="Y83" i="58" s="1"/>
  <c r="Z83" i="58" s="1"/>
  <c r="AA83" i="58" s="1"/>
  <c r="AB83" i="58"/>
  <c r="K223" i="58"/>
  <c r="K261" i="58" s="1"/>
  <c r="H122" i="47" s="1"/>
  <c r="Q43" i="58"/>
  <c r="Q45" i="58"/>
  <c r="Q44" i="58"/>
  <c r="Q46" i="58"/>
  <c r="L92" i="58"/>
  <c r="AC73" i="58"/>
  <c r="AV73" i="58"/>
  <c r="L99" i="58"/>
  <c r="I86" i="58"/>
  <c r="S86" i="58"/>
  <c r="T86" i="58" s="1"/>
  <c r="U86" i="58" s="1"/>
  <c r="V86" i="58" s="1"/>
  <c r="W86" i="58" s="1"/>
  <c r="X86" i="58" s="1"/>
  <c r="Y86" i="58" s="1"/>
  <c r="Z86" i="58" s="1"/>
  <c r="AA86" i="58" s="1"/>
  <c r="AB86" i="58"/>
  <c r="L189" i="58"/>
  <c r="L211" i="58"/>
  <c r="L177" i="58"/>
  <c r="L200" i="58"/>
  <c r="M84" i="58"/>
  <c r="O45" i="58"/>
  <c r="O51" i="58" s="1"/>
  <c r="O46" i="58"/>
  <c r="O52" i="58" s="1"/>
  <c r="O44" i="58"/>
  <c r="O50" i="58" s="1"/>
  <c r="O43" i="58"/>
  <c r="O49" i="58" s="1"/>
  <c r="R98" i="58"/>
  <c r="H98" i="58"/>
  <c r="P98" i="58"/>
  <c r="P157" i="58" s="1"/>
  <c r="P41" i="58"/>
  <c r="L97" i="58"/>
  <c r="AC74" i="58"/>
  <c r="AV74" i="58"/>
  <c r="K225" i="58"/>
  <c r="K263" i="58" s="1"/>
  <c r="H126" i="47" s="1"/>
  <c r="R94" i="58"/>
  <c r="H94" i="58"/>
  <c r="P94" i="58"/>
  <c r="P153" i="58" s="1"/>
  <c r="I81" i="58"/>
  <c r="S81" i="58"/>
  <c r="T81" i="58" s="1"/>
  <c r="U81" i="58" s="1"/>
  <c r="V81" i="58" s="1"/>
  <c r="W81" i="58" s="1"/>
  <c r="X81" i="58" s="1"/>
  <c r="Y81" i="58" s="1"/>
  <c r="Z81" i="58" s="1"/>
  <c r="AA81" i="58" s="1"/>
  <c r="AB81" i="58"/>
  <c r="I89" i="58"/>
  <c r="S89" i="58"/>
  <c r="T89" i="58" s="1"/>
  <c r="U89" i="58" s="1"/>
  <c r="V89" i="58" s="1"/>
  <c r="W89" i="58" s="1"/>
  <c r="X89" i="58" s="1"/>
  <c r="Y89" i="58" s="1"/>
  <c r="Z89" i="58" s="1"/>
  <c r="AA89" i="58" s="1"/>
  <c r="AB89" i="58"/>
  <c r="M170" i="58"/>
  <c r="N78" i="58"/>
  <c r="N170" i="58" s="1"/>
  <c r="L95" i="58"/>
  <c r="H92" i="58"/>
  <c r="P92" i="58"/>
  <c r="P151" i="58" s="1"/>
  <c r="R92" i="58"/>
  <c r="R151" i="58" s="1"/>
  <c r="R97" i="58"/>
  <c r="H97" i="58"/>
  <c r="P97" i="58"/>
  <c r="P156" i="58" s="1"/>
  <c r="R99" i="58"/>
  <c r="H99" i="58"/>
  <c r="P99" i="58"/>
  <c r="P158" i="58" s="1"/>
  <c r="I85" i="58"/>
  <c r="S85" i="58"/>
  <c r="T85" i="58" s="1"/>
  <c r="U85" i="58" s="1"/>
  <c r="V85" i="58" s="1"/>
  <c r="W85" i="58" s="1"/>
  <c r="X85" i="58" s="1"/>
  <c r="Y85" i="58" s="1"/>
  <c r="Z85" i="58" s="1"/>
  <c r="AA85" i="58" s="1"/>
  <c r="AB85" i="58"/>
  <c r="S14" i="58"/>
  <c r="S23" i="58"/>
  <c r="K222" i="58"/>
  <c r="K260" i="58" s="1"/>
  <c r="H121" i="47" s="1"/>
  <c r="K238" i="58"/>
  <c r="K253" i="58" s="1"/>
  <c r="H117" i="47" s="1"/>
  <c r="I84" i="58"/>
  <c r="S84" i="58"/>
  <c r="T84" i="58" s="1"/>
  <c r="U84" i="58" s="1"/>
  <c r="V84" i="58" s="1"/>
  <c r="W84" i="58" s="1"/>
  <c r="X84" i="58" s="1"/>
  <c r="Y84" i="58" s="1"/>
  <c r="Z84" i="58" s="1"/>
  <c r="AA84" i="58" s="1"/>
  <c r="AB84" i="58"/>
  <c r="L176" i="58"/>
  <c r="L210" i="58"/>
  <c r="L199" i="58"/>
  <c r="L188" i="58"/>
  <c r="M83" i="58"/>
  <c r="K233" i="58"/>
  <c r="K248" i="58" s="1"/>
  <c r="H109" i="47" s="1"/>
  <c r="M86" i="58"/>
  <c r="L179" i="58"/>
  <c r="L202" i="58"/>
  <c r="L213" i="58"/>
  <c r="L191" i="58"/>
  <c r="K234" i="58"/>
  <c r="K249" i="58" s="1"/>
  <c r="H111" i="47" s="1"/>
  <c r="K241" i="58"/>
  <c r="K256" i="58" s="1"/>
  <c r="H114" i="47" s="1"/>
  <c r="H95" i="58"/>
  <c r="P95" i="58"/>
  <c r="P154" i="58" s="1"/>
  <c r="R95" i="58"/>
  <c r="U70" i="58"/>
  <c r="M164" i="58"/>
  <c r="N72" i="58"/>
  <c r="N164" i="58" s="1"/>
  <c r="K220" i="58"/>
  <c r="L93" i="58"/>
  <c r="H100" i="58"/>
  <c r="P100" i="58"/>
  <c r="P159" i="58" s="1"/>
  <c r="R100" i="58"/>
  <c r="K221" i="58"/>
  <c r="K259" i="58" s="1"/>
  <c r="H120" i="47" s="1"/>
  <c r="K228" i="58"/>
  <c r="K266" i="58" s="1"/>
  <c r="H123" i="47" s="1"/>
  <c r="K224" i="58"/>
  <c r="K262" i="58" s="1"/>
  <c r="H124" i="47" s="1"/>
  <c r="M82" i="58"/>
  <c r="L198" i="58"/>
  <c r="L175" i="58"/>
  <c r="L187" i="58"/>
  <c r="L209" i="58"/>
  <c r="K237" i="58"/>
  <c r="K252" i="58" s="1"/>
  <c r="H115" i="47" s="1"/>
  <c r="U71" i="58"/>
  <c r="R24" i="58"/>
  <c r="U78" i="58"/>
  <c r="H93" i="58"/>
  <c r="P93" i="58"/>
  <c r="P152" i="58" s="1"/>
  <c r="R93" i="58"/>
  <c r="L96" i="58"/>
  <c r="M89" i="58"/>
  <c r="L194" i="58"/>
  <c r="L205" i="58"/>
  <c r="L182" i="58"/>
  <c r="L216" i="58"/>
  <c r="AC70" i="58"/>
  <c r="AV70" i="58"/>
  <c r="P27" i="55"/>
  <c r="M135" i="47" s="1"/>
  <c r="J108" i="47"/>
  <c r="BH201" i="57"/>
  <c r="BE220" i="57"/>
  <c r="J220" i="57"/>
  <c r="G102" i="47" s="1"/>
  <c r="M201" i="57"/>
  <c r="BE221" i="57"/>
  <c r="BH202" i="57"/>
  <c r="J221" i="57"/>
  <c r="G101" i="47" s="1"/>
  <c r="M202" i="57"/>
  <c r="E112" i="57"/>
  <c r="E186" i="57"/>
  <c r="W186" i="57" s="1"/>
  <c r="P30" i="55"/>
  <c r="M35" i="44"/>
  <c r="U6" i="35"/>
  <c r="T10" i="58"/>
  <c r="L25" i="44"/>
  <c r="L26" i="44" s="1"/>
  <c r="E153" i="57"/>
  <c r="E165" i="57" s="1"/>
  <c r="E168" i="57"/>
  <c r="J240" i="57" s="1"/>
  <c r="D257" i="57"/>
  <c r="J264" i="57" s="1"/>
  <c r="P38" i="55"/>
  <c r="D256" i="57"/>
  <c r="J263" i="57" s="1"/>
  <c r="P26" i="55"/>
  <c r="E191" i="57"/>
  <c r="W191" i="57" s="1"/>
  <c r="E166" i="57"/>
  <c r="E192" i="57"/>
  <c r="W192" i="57" s="1"/>
  <c r="E167" i="57"/>
  <c r="BH207" i="57"/>
  <c r="BI207" i="57" s="1"/>
  <c r="BE226" i="57"/>
  <c r="BF226" i="57" s="1"/>
  <c r="D258" i="57"/>
  <c r="J265" i="57" s="1"/>
  <c r="P31" i="55"/>
  <c r="O178" i="56"/>
  <c r="P178" i="56" s="1"/>
  <c r="H86" i="56"/>
  <c r="AP78" i="56" s="1"/>
  <c r="AP80" i="56" s="1"/>
  <c r="AP81" i="56" s="1"/>
  <c r="H102" i="56"/>
  <c r="M131" i="47"/>
  <c r="L186" i="56"/>
  <c r="M130" i="47"/>
  <c r="M127" i="47"/>
  <c r="G21" i="57"/>
  <c r="M134" i="47"/>
  <c r="O179" i="56"/>
  <c r="P179" i="56" s="1"/>
  <c r="P36" i="55"/>
  <c r="O180" i="56"/>
  <c r="P180" i="56" s="1"/>
  <c r="O181" i="56"/>
  <c r="P181" i="56" s="1"/>
  <c r="O184" i="56"/>
  <c r="P184" i="56" s="1"/>
  <c r="O185" i="56"/>
  <c r="P185" i="56" s="1"/>
  <c r="O182" i="56"/>
  <c r="P182" i="56" s="1"/>
  <c r="O121" i="56"/>
  <c r="M128" i="47"/>
  <c r="O183" i="56"/>
  <c r="P183" i="56" s="1"/>
  <c r="N49" i="29"/>
  <c r="L49" i="29"/>
  <c r="I85" i="47" s="1"/>
  <c r="H85" i="47"/>
  <c r="N50" i="29"/>
  <c r="L50" i="29"/>
  <c r="I86" i="47" s="1"/>
  <c r="H86" i="47"/>
  <c r="N23" i="29"/>
  <c r="N22" i="29"/>
  <c r="M25" i="35"/>
  <c r="N25" i="35" s="1"/>
  <c r="N51" i="29"/>
  <c r="K108" i="47" s="1"/>
  <c r="L48" i="29"/>
  <c r="I84" i="47" s="1"/>
  <c r="I8" i="47"/>
  <c r="M23" i="35"/>
  <c r="M26" i="35"/>
  <c r="I7" i="47"/>
  <c r="M22" i="35"/>
  <c r="I5" i="47"/>
  <c r="M24" i="35"/>
  <c r="I9" i="47"/>
  <c r="AC83" i="47"/>
  <c r="AG47" i="29"/>
  <c r="U83" i="47"/>
  <c r="Y47" i="29"/>
  <c r="Q50" i="57" l="1"/>
  <c r="Z49" i="57"/>
  <c r="Z57" i="57" s="1"/>
  <c r="P51" i="57"/>
  <c r="Y51" i="57" s="1"/>
  <c r="G51" i="57" s="1"/>
  <c r="P110" i="57"/>
  <c r="Y50" i="57"/>
  <c r="G50" i="57" s="1"/>
  <c r="Y58" i="57"/>
  <c r="Y59" i="57" s="1"/>
  <c r="Y60" i="57" s="1"/>
  <c r="H49" i="57"/>
  <c r="F51" i="57"/>
  <c r="X51" i="57"/>
  <c r="Q79" i="56"/>
  <c r="Q95" i="56" s="1"/>
  <c r="Y95" i="56" s="1"/>
  <c r="Y52" i="56"/>
  <c r="Y79" i="56" s="1"/>
  <c r="Y57" i="56"/>
  <c r="Y84" i="56" s="1"/>
  <c r="Q84" i="56"/>
  <c r="Q100" i="56" s="1"/>
  <c r="Y100" i="56" s="1"/>
  <c r="Q81" i="56"/>
  <c r="Q97" i="56" s="1"/>
  <c r="Y97" i="56" s="1"/>
  <c r="Y54" i="56"/>
  <c r="Y81" i="56" s="1"/>
  <c r="Y53" i="56"/>
  <c r="Y80" i="56" s="1"/>
  <c r="Q80" i="56"/>
  <c r="Q96" i="56" s="1"/>
  <c r="Y96" i="56" s="1"/>
  <c r="Y51" i="56"/>
  <c r="Y78" i="56" s="1"/>
  <c r="Q78" i="56"/>
  <c r="Q94" i="56" s="1"/>
  <c r="Y94" i="56" s="1"/>
  <c r="Y56" i="56"/>
  <c r="Y83" i="56" s="1"/>
  <c r="Q83" i="56"/>
  <c r="Q99" i="56" s="1"/>
  <c r="Y99" i="56" s="1"/>
  <c r="Q85" i="56"/>
  <c r="Q101" i="56" s="1"/>
  <c r="Y101" i="56" s="1"/>
  <c r="Y58" i="56"/>
  <c r="Y85" i="56" s="1"/>
  <c r="AA109" i="57"/>
  <c r="I109" i="57"/>
  <c r="AA60" i="56"/>
  <c r="S52" i="56"/>
  <c r="S54" i="56"/>
  <c r="S56" i="56"/>
  <c r="S58" i="56"/>
  <c r="S53" i="56"/>
  <c r="S51" i="56"/>
  <c r="S57" i="56"/>
  <c r="S55" i="56"/>
  <c r="S59" i="56"/>
  <c r="Q86" i="56"/>
  <c r="Y59" i="56"/>
  <c r="Y86" i="56" s="1"/>
  <c r="Y55" i="56"/>
  <c r="Y82" i="56" s="1"/>
  <c r="Q82" i="56"/>
  <c r="Q98" i="56" s="1"/>
  <c r="Y98" i="56" s="1"/>
  <c r="Y76" i="56"/>
  <c r="S46" i="56"/>
  <c r="S77" i="56" s="1"/>
  <c r="S93" i="56" s="1"/>
  <c r="AA93" i="56" s="1"/>
  <c r="AA48" i="56"/>
  <c r="S47" i="56"/>
  <c r="S87" i="56" s="1"/>
  <c r="P58" i="57"/>
  <c r="G58" i="57" s="1"/>
  <c r="G57" i="57"/>
  <c r="AA87" i="57"/>
  <c r="R152" i="58"/>
  <c r="R49" i="29"/>
  <c r="Q57" i="57"/>
  <c r="H57" i="57" s="1"/>
  <c r="K86" i="56"/>
  <c r="K102" i="56"/>
  <c r="I86" i="56"/>
  <c r="I102" i="56"/>
  <c r="L147" i="56"/>
  <c r="I97" i="47" s="1"/>
  <c r="P121" i="56"/>
  <c r="M147" i="56" s="1"/>
  <c r="AJ77" i="56"/>
  <c r="AJ80" i="56" s="1"/>
  <c r="AJ81" i="56" s="1"/>
  <c r="R153" i="58"/>
  <c r="R154" i="58"/>
  <c r="R159" i="58"/>
  <c r="R158" i="58"/>
  <c r="R157" i="58"/>
  <c r="R156" i="58"/>
  <c r="L241" i="58"/>
  <c r="L256" i="58" s="1"/>
  <c r="I114" i="47" s="1"/>
  <c r="AD71" i="58"/>
  <c r="AE71" i="58" s="1"/>
  <c r="M100" i="58"/>
  <c r="M159" i="58" s="1"/>
  <c r="Q94" i="58"/>
  <c r="Q153" i="58" s="1"/>
  <c r="Q95" i="58"/>
  <c r="Q154" i="58" s="1"/>
  <c r="S24" i="58"/>
  <c r="L225" i="58"/>
  <c r="L263" i="58" s="1"/>
  <c r="I126" i="47" s="1"/>
  <c r="AD75" i="58"/>
  <c r="AE75" i="58" s="1"/>
  <c r="L221" i="58"/>
  <c r="L259" i="58" s="1"/>
  <c r="I120" i="47" s="1"/>
  <c r="AD72" i="58"/>
  <c r="AE72" i="58" s="1"/>
  <c r="L222" i="58"/>
  <c r="L260" i="58" s="1"/>
  <c r="I121" i="47" s="1"/>
  <c r="Q100" i="58"/>
  <c r="Q159" i="58" s="1"/>
  <c r="L153" i="58"/>
  <c r="L235" i="58" s="1"/>
  <c r="L250" i="58" s="1"/>
  <c r="I112" i="47" s="1"/>
  <c r="M94" i="58"/>
  <c r="AD73" i="58"/>
  <c r="AE73" i="58" s="1"/>
  <c r="AD74" i="58"/>
  <c r="AE74" i="58" s="1"/>
  <c r="Q92" i="58"/>
  <c r="Q151" i="58" s="1"/>
  <c r="L223" i="58"/>
  <c r="L261" i="58" s="1"/>
  <c r="I122" i="47" s="1"/>
  <c r="Q96" i="58"/>
  <c r="Q155" i="58" s="1"/>
  <c r="Q97" i="58"/>
  <c r="Q156" i="58" s="1"/>
  <c r="R46" i="58"/>
  <c r="R43" i="58"/>
  <c r="R44" i="58"/>
  <c r="R45" i="58"/>
  <c r="L228" i="58"/>
  <c r="L266" i="58" s="1"/>
  <c r="I123" i="47" s="1"/>
  <c r="S31" i="58"/>
  <c r="S34" i="58" s="1"/>
  <c r="S35" i="58" s="1"/>
  <c r="S36" i="58" s="1"/>
  <c r="S41" i="58" s="1"/>
  <c r="Q99" i="58"/>
  <c r="Q158" i="58" s="1"/>
  <c r="L154" i="58"/>
  <c r="L236" i="58" s="1"/>
  <c r="L251" i="58" s="1"/>
  <c r="I113" i="47" s="1"/>
  <c r="M95" i="58"/>
  <c r="O213" i="58"/>
  <c r="O216" i="58"/>
  <c r="O212" i="58"/>
  <c r="O215" i="58"/>
  <c r="O210" i="58"/>
  <c r="O214" i="58"/>
  <c r="O211" i="58"/>
  <c r="O209" i="58"/>
  <c r="O208" i="58"/>
  <c r="AC83" i="58"/>
  <c r="AD83" i="58" s="1"/>
  <c r="AE83" i="58" s="1"/>
  <c r="AF83" i="58" s="1"/>
  <c r="AG83" i="58" s="1"/>
  <c r="AH83" i="58" s="1"/>
  <c r="AI83" i="58" s="1"/>
  <c r="AJ83" i="58" s="1"/>
  <c r="AK83" i="58" s="1"/>
  <c r="AL83" i="58" s="1"/>
  <c r="AM83" i="58" s="1"/>
  <c r="AN83" i="58" s="1"/>
  <c r="AO83" i="58" s="1"/>
  <c r="AP83" i="58" s="1"/>
  <c r="AQ83" i="58" s="1"/>
  <c r="AR83" i="58" s="1"/>
  <c r="AS83" i="58" s="1"/>
  <c r="AT83" i="58" s="1"/>
  <c r="AU83" i="58" s="1"/>
  <c r="AV83" i="58"/>
  <c r="M216" i="58"/>
  <c r="M182" i="58"/>
  <c r="M205" i="58"/>
  <c r="M194" i="58"/>
  <c r="N89" i="58"/>
  <c r="I100" i="58"/>
  <c r="S100" i="58"/>
  <c r="AB100" i="58"/>
  <c r="O200" i="58"/>
  <c r="O204" i="58"/>
  <c r="O203" i="58"/>
  <c r="O197" i="58"/>
  <c r="O205" i="58"/>
  <c r="O201" i="58"/>
  <c r="O202" i="58"/>
  <c r="O199" i="58"/>
  <c r="O198" i="58"/>
  <c r="R162" i="58"/>
  <c r="R170" i="58"/>
  <c r="R166" i="58"/>
  <c r="R168" i="58"/>
  <c r="R165" i="58"/>
  <c r="R167" i="58"/>
  <c r="R169" i="58"/>
  <c r="R163" i="58"/>
  <c r="R164" i="58"/>
  <c r="L152" i="58"/>
  <c r="L234" i="58" s="1"/>
  <c r="L249" i="58" s="1"/>
  <c r="I111" i="47" s="1"/>
  <c r="M93" i="58"/>
  <c r="I99" i="58"/>
  <c r="S99" i="58"/>
  <c r="AB99" i="58"/>
  <c r="M211" i="58"/>
  <c r="M177" i="58"/>
  <c r="M189" i="58"/>
  <c r="M200" i="58"/>
  <c r="N84" i="58"/>
  <c r="R155" i="58"/>
  <c r="L220" i="58"/>
  <c r="L155" i="58"/>
  <c r="L237" i="58" s="1"/>
  <c r="L252" i="58" s="1"/>
  <c r="I115" i="47" s="1"/>
  <c r="M96" i="58"/>
  <c r="K245" i="58"/>
  <c r="K258" i="58"/>
  <c r="H118" i="47" s="1"/>
  <c r="AC86" i="58"/>
  <c r="AD86" i="58" s="1"/>
  <c r="AE86" i="58" s="1"/>
  <c r="AF86" i="58" s="1"/>
  <c r="AG86" i="58" s="1"/>
  <c r="AH86" i="58" s="1"/>
  <c r="AI86" i="58" s="1"/>
  <c r="AJ86" i="58" s="1"/>
  <c r="AK86" i="58" s="1"/>
  <c r="AL86" i="58" s="1"/>
  <c r="AM86" i="58" s="1"/>
  <c r="AN86" i="58" s="1"/>
  <c r="AO86" i="58" s="1"/>
  <c r="AP86" i="58" s="1"/>
  <c r="AQ86" i="58" s="1"/>
  <c r="AR86" i="58" s="1"/>
  <c r="AS86" i="58" s="1"/>
  <c r="AT86" i="58" s="1"/>
  <c r="AU86" i="58" s="1"/>
  <c r="AV86" i="58"/>
  <c r="I96" i="58"/>
  <c r="S96" i="58"/>
  <c r="AB96" i="58"/>
  <c r="Q93" i="58"/>
  <c r="Q152" i="58" s="1"/>
  <c r="M209" i="58"/>
  <c r="M187" i="58"/>
  <c r="M198" i="58"/>
  <c r="M175" i="58"/>
  <c r="N82" i="58"/>
  <c r="L156" i="58"/>
  <c r="L238" i="58" s="1"/>
  <c r="L253" i="58" s="1"/>
  <c r="I117" i="47" s="1"/>
  <c r="M97" i="58"/>
  <c r="L158" i="58"/>
  <c r="L240" i="58" s="1"/>
  <c r="L255" i="58" s="1"/>
  <c r="I116" i="47" s="1"/>
  <c r="M99" i="58"/>
  <c r="M191" i="58"/>
  <c r="M202" i="58"/>
  <c r="M179" i="58"/>
  <c r="M213" i="58"/>
  <c r="N86" i="58"/>
  <c r="P46" i="58"/>
  <c r="P52" i="58" s="1"/>
  <c r="Q52" i="58" s="1"/>
  <c r="P43" i="58"/>
  <c r="P49" i="58" s="1"/>
  <c r="P45" i="58"/>
  <c r="P51" i="58" s="1"/>
  <c r="Q51" i="58" s="1"/>
  <c r="P44" i="58"/>
  <c r="P50" i="58" s="1"/>
  <c r="Q50" i="58" s="1"/>
  <c r="M201" i="58"/>
  <c r="M178" i="58"/>
  <c r="M190" i="58"/>
  <c r="M212" i="58"/>
  <c r="N85" i="58"/>
  <c r="W72" i="58"/>
  <c r="V70" i="58"/>
  <c r="I97" i="58"/>
  <c r="S97" i="58"/>
  <c r="AB97" i="58"/>
  <c r="Q98" i="58"/>
  <c r="Q157" i="58" s="1"/>
  <c r="L224" i="58"/>
  <c r="L262" i="58" s="1"/>
  <c r="I124" i="47" s="1"/>
  <c r="V74" i="58"/>
  <c r="AD70" i="58"/>
  <c r="I93" i="58"/>
  <c r="S93" i="58"/>
  <c r="AB93" i="58"/>
  <c r="M188" i="58"/>
  <c r="M199" i="58"/>
  <c r="M210" i="58"/>
  <c r="M176" i="58"/>
  <c r="N83" i="58"/>
  <c r="AD78" i="58"/>
  <c r="AC82" i="58"/>
  <c r="AD82" i="58" s="1"/>
  <c r="AE82" i="58" s="1"/>
  <c r="AF82" i="58" s="1"/>
  <c r="AG82" i="58" s="1"/>
  <c r="AH82" i="58" s="1"/>
  <c r="AI82" i="58" s="1"/>
  <c r="AJ82" i="58" s="1"/>
  <c r="AK82" i="58" s="1"/>
  <c r="AL82" i="58" s="1"/>
  <c r="AM82" i="58" s="1"/>
  <c r="AN82" i="58" s="1"/>
  <c r="AO82" i="58" s="1"/>
  <c r="AP82" i="58" s="1"/>
  <c r="AQ82" i="58" s="1"/>
  <c r="AR82" i="58" s="1"/>
  <c r="AS82" i="58" s="1"/>
  <c r="AT82" i="58" s="1"/>
  <c r="AU82" i="58" s="1"/>
  <c r="AV82" i="58"/>
  <c r="V78" i="58"/>
  <c r="AC84" i="58"/>
  <c r="AD84" i="58" s="1"/>
  <c r="AE84" i="58" s="1"/>
  <c r="AF84" i="58" s="1"/>
  <c r="AG84" i="58" s="1"/>
  <c r="AH84" i="58" s="1"/>
  <c r="AI84" i="58" s="1"/>
  <c r="AJ84" i="58" s="1"/>
  <c r="AK84" i="58" s="1"/>
  <c r="AL84" i="58" s="1"/>
  <c r="AM84" i="58" s="1"/>
  <c r="AN84" i="58" s="1"/>
  <c r="AO84" i="58" s="1"/>
  <c r="AP84" i="58" s="1"/>
  <c r="AQ84" i="58" s="1"/>
  <c r="AR84" i="58" s="1"/>
  <c r="AS84" i="58" s="1"/>
  <c r="AT84" i="58" s="1"/>
  <c r="AU84" i="58" s="1"/>
  <c r="AV84" i="58"/>
  <c r="AC81" i="58"/>
  <c r="AD81" i="58" s="1"/>
  <c r="AE81" i="58" s="1"/>
  <c r="AF81" i="58" s="1"/>
  <c r="AG81" i="58" s="1"/>
  <c r="AH81" i="58" s="1"/>
  <c r="AI81" i="58" s="1"/>
  <c r="AJ81" i="58" s="1"/>
  <c r="AK81" i="58" s="1"/>
  <c r="AL81" i="58" s="1"/>
  <c r="AM81" i="58" s="1"/>
  <c r="AN81" i="58" s="1"/>
  <c r="AO81" i="58" s="1"/>
  <c r="AP81" i="58" s="1"/>
  <c r="AQ81" i="58" s="1"/>
  <c r="AR81" i="58" s="1"/>
  <c r="AS81" i="58" s="1"/>
  <c r="AT81" i="58" s="1"/>
  <c r="AU81" i="58" s="1"/>
  <c r="AV81" i="58"/>
  <c r="I98" i="58"/>
  <c r="S98" i="58"/>
  <c r="AB98" i="58"/>
  <c r="L151" i="58"/>
  <c r="L233" i="58" s="1"/>
  <c r="L248" i="58" s="1"/>
  <c r="I109" i="47" s="1"/>
  <c r="M92" i="58"/>
  <c r="V75" i="58"/>
  <c r="L157" i="58"/>
  <c r="L239" i="58" s="1"/>
  <c r="L254" i="58" s="1"/>
  <c r="I110" i="47" s="1"/>
  <c r="M98" i="58"/>
  <c r="V71" i="58"/>
  <c r="I95" i="58"/>
  <c r="S95" i="58"/>
  <c r="AB95" i="58"/>
  <c r="O182" i="58"/>
  <c r="O241" i="58" s="1"/>
  <c r="O256" i="58" s="1"/>
  <c r="L114" i="47" s="1"/>
  <c r="O177" i="58"/>
  <c r="O236" i="58" s="1"/>
  <c r="O251" i="58" s="1"/>
  <c r="L113" i="47" s="1"/>
  <c r="O180" i="58"/>
  <c r="O239" i="58" s="1"/>
  <c r="O254" i="58" s="1"/>
  <c r="L110" i="47" s="1"/>
  <c r="O178" i="58"/>
  <c r="O237" i="58" s="1"/>
  <c r="O252" i="58" s="1"/>
  <c r="L115" i="47" s="1"/>
  <c r="O175" i="58"/>
  <c r="O234" i="58" s="1"/>
  <c r="O249" i="58" s="1"/>
  <c r="L111" i="47" s="1"/>
  <c r="O176" i="58"/>
  <c r="O235" i="58" s="1"/>
  <c r="O250" i="58" s="1"/>
  <c r="L112" i="47" s="1"/>
  <c r="O181" i="58"/>
  <c r="O240" i="58" s="1"/>
  <c r="O255" i="58" s="1"/>
  <c r="L116" i="47" s="1"/>
  <c r="O179" i="58"/>
  <c r="O238" i="58" s="1"/>
  <c r="O253" i="58" s="1"/>
  <c r="L117" i="47" s="1"/>
  <c r="O53" i="58"/>
  <c r="O174" i="58"/>
  <c r="O233" i="58" s="1"/>
  <c r="O248" i="58" s="1"/>
  <c r="L109" i="47" s="1"/>
  <c r="M186" i="58"/>
  <c r="M197" i="58"/>
  <c r="M174" i="58"/>
  <c r="M208" i="58"/>
  <c r="N81" i="58"/>
  <c r="V73" i="58"/>
  <c r="T14" i="58"/>
  <c r="T23" i="58"/>
  <c r="AC85" i="58"/>
  <c r="AD85" i="58" s="1"/>
  <c r="AE85" i="58" s="1"/>
  <c r="AF85" i="58" s="1"/>
  <c r="AG85" i="58" s="1"/>
  <c r="AH85" i="58" s="1"/>
  <c r="AI85" i="58" s="1"/>
  <c r="AJ85" i="58" s="1"/>
  <c r="AK85" i="58" s="1"/>
  <c r="AL85" i="58" s="1"/>
  <c r="AM85" i="58" s="1"/>
  <c r="AN85" i="58" s="1"/>
  <c r="AO85" i="58" s="1"/>
  <c r="AP85" i="58" s="1"/>
  <c r="AQ85" i="58" s="1"/>
  <c r="AR85" i="58" s="1"/>
  <c r="AS85" i="58" s="1"/>
  <c r="AT85" i="58" s="1"/>
  <c r="AU85" i="58" s="1"/>
  <c r="AV85" i="58"/>
  <c r="I92" i="58"/>
  <c r="S92" i="58"/>
  <c r="AB92" i="58"/>
  <c r="AC89" i="58"/>
  <c r="AD89" i="58" s="1"/>
  <c r="AE89" i="58" s="1"/>
  <c r="AF89" i="58" s="1"/>
  <c r="AG89" i="58" s="1"/>
  <c r="AH89" i="58" s="1"/>
  <c r="AI89" i="58" s="1"/>
  <c r="AJ89" i="58" s="1"/>
  <c r="AK89" i="58" s="1"/>
  <c r="AL89" i="58" s="1"/>
  <c r="AM89" i="58" s="1"/>
  <c r="AN89" i="58" s="1"/>
  <c r="AO89" i="58" s="1"/>
  <c r="AP89" i="58" s="1"/>
  <c r="AQ89" i="58" s="1"/>
  <c r="AR89" i="58" s="1"/>
  <c r="AS89" i="58" s="1"/>
  <c r="AT89" i="58" s="1"/>
  <c r="AU89" i="58" s="1"/>
  <c r="AV89" i="58"/>
  <c r="I94" i="58"/>
  <c r="S94" i="58"/>
  <c r="AB94" i="58"/>
  <c r="O193" i="58"/>
  <c r="O189" i="58"/>
  <c r="O192" i="58"/>
  <c r="O186" i="58"/>
  <c r="O194" i="58"/>
  <c r="O190" i="58"/>
  <c r="O187" i="58"/>
  <c r="O191" i="58"/>
  <c r="O188" i="58"/>
  <c r="E190" i="57"/>
  <c r="AC32" i="57"/>
  <c r="BI202" i="57"/>
  <c r="BF220" i="57"/>
  <c r="J84" i="47"/>
  <c r="J86" i="47"/>
  <c r="J85" i="47"/>
  <c r="BE219" i="57"/>
  <c r="BH200" i="57"/>
  <c r="J219" i="57"/>
  <c r="G100" i="47" s="1"/>
  <c r="M200" i="57"/>
  <c r="BF221" i="57"/>
  <c r="BI201" i="57"/>
  <c r="N35" i="44"/>
  <c r="V6" i="35"/>
  <c r="U10" i="58"/>
  <c r="M25" i="44"/>
  <c r="M26" i="44" s="1"/>
  <c r="J238" i="57"/>
  <c r="J237" i="57"/>
  <c r="E169" i="57"/>
  <c r="E176" i="57" s="1"/>
  <c r="BE224" i="57"/>
  <c r="BF224" i="57" s="1"/>
  <c r="BH205" i="57"/>
  <c r="BI205" i="57" s="1"/>
  <c r="J239" i="57"/>
  <c r="BE225" i="57"/>
  <c r="BF225" i="57" s="1"/>
  <c r="BH206" i="57"/>
  <c r="BI206" i="57" s="1"/>
  <c r="M129" i="47"/>
  <c r="M133" i="47"/>
  <c r="N127" i="47"/>
  <c r="I108" i="47"/>
  <c r="O49" i="29"/>
  <c r="K85" i="47"/>
  <c r="O50" i="29"/>
  <c r="K86" i="47"/>
  <c r="N24" i="29"/>
  <c r="R50" i="29" s="1"/>
  <c r="J6" i="47"/>
  <c r="O51" i="29"/>
  <c r="P51" i="29" s="1"/>
  <c r="N23" i="35"/>
  <c r="J8" i="47"/>
  <c r="N22" i="35"/>
  <c r="J5" i="47"/>
  <c r="O25" i="35"/>
  <c r="K6" i="47"/>
  <c r="N24" i="35"/>
  <c r="J9" i="47"/>
  <c r="J7" i="47"/>
  <c r="N26" i="35"/>
  <c r="AD83" i="47"/>
  <c r="AH47" i="29"/>
  <c r="V83" i="47"/>
  <c r="Z47" i="29"/>
  <c r="Y61" i="57" l="1"/>
  <c r="Y110" i="57"/>
  <c r="G110" i="57" s="1"/>
  <c r="P111" i="57"/>
  <c r="Y111" i="57" s="1"/>
  <c r="G111" i="57" s="1"/>
  <c r="Z58" i="57"/>
  <c r="Z59" i="57" s="1"/>
  <c r="Z60" i="57" s="1"/>
  <c r="Q51" i="57"/>
  <c r="Z51" i="57" s="1"/>
  <c r="H51" i="57" s="1"/>
  <c r="Q110" i="57"/>
  <c r="Z50" i="57"/>
  <c r="H50" i="57" s="1"/>
  <c r="O225" i="58"/>
  <c r="O263" i="58" s="1"/>
  <c r="L126" i="47" s="1"/>
  <c r="P61" i="57"/>
  <c r="T24" i="58"/>
  <c r="S80" i="56"/>
  <c r="S96" i="56" s="1"/>
  <c r="AA96" i="56" s="1"/>
  <c r="AA53" i="56"/>
  <c r="AA80" i="56" s="1"/>
  <c r="S85" i="56"/>
  <c r="S101" i="56" s="1"/>
  <c r="AA101" i="56" s="1"/>
  <c r="AA58" i="56"/>
  <c r="AA85" i="56" s="1"/>
  <c r="AA56" i="56"/>
  <c r="AA83" i="56" s="1"/>
  <c r="S83" i="56"/>
  <c r="S99" i="56" s="1"/>
  <c r="AA99" i="56" s="1"/>
  <c r="AA54" i="56"/>
  <c r="AA81" i="56" s="1"/>
  <c r="S81" i="56"/>
  <c r="S97" i="56" s="1"/>
  <c r="AA97" i="56" s="1"/>
  <c r="AA52" i="56"/>
  <c r="AA79" i="56" s="1"/>
  <c r="S79" i="56"/>
  <c r="S95" i="56" s="1"/>
  <c r="AA95" i="56" s="1"/>
  <c r="S84" i="56"/>
  <c r="S100" i="56" s="1"/>
  <c r="AA100" i="56" s="1"/>
  <c r="AA57" i="56"/>
  <c r="AA84" i="56" s="1"/>
  <c r="AA51" i="56"/>
  <c r="AA78" i="56" s="1"/>
  <c r="S78" i="56"/>
  <c r="S94" i="56" s="1"/>
  <c r="AA94" i="56" s="1"/>
  <c r="AA59" i="56"/>
  <c r="AA86" i="56" s="1"/>
  <c r="S86" i="56"/>
  <c r="AA55" i="56"/>
  <c r="AA82" i="56" s="1"/>
  <c r="S82" i="56"/>
  <c r="S98" i="56" s="1"/>
  <c r="AA98" i="56" s="1"/>
  <c r="P59" i="57"/>
  <c r="AD32" i="57"/>
  <c r="BE223" i="57"/>
  <c r="BF223" i="57" s="1"/>
  <c r="W190" i="57"/>
  <c r="Q58" i="57"/>
  <c r="Q121" i="56"/>
  <c r="N147" i="56" s="1"/>
  <c r="K97" i="47" s="1"/>
  <c r="M186" i="56"/>
  <c r="J97" i="47"/>
  <c r="N186" i="56"/>
  <c r="BH204" i="57"/>
  <c r="BI204" i="57" s="1"/>
  <c r="N100" i="58"/>
  <c r="N159" i="58" s="1"/>
  <c r="S151" i="58"/>
  <c r="O222" i="58"/>
  <c r="O260" i="58" s="1"/>
  <c r="L121" i="47" s="1"/>
  <c r="O221" i="58"/>
  <c r="O259" i="58" s="1"/>
  <c r="L120" i="47" s="1"/>
  <c r="O226" i="58"/>
  <c r="O264" i="58" s="1"/>
  <c r="L119" i="47" s="1"/>
  <c r="S158" i="58"/>
  <c r="O220" i="58"/>
  <c r="O258" i="58" s="1"/>
  <c r="L118" i="47" s="1"/>
  <c r="S159" i="58"/>
  <c r="S154" i="58"/>
  <c r="O223" i="58"/>
  <c r="O261" i="58" s="1"/>
  <c r="L122" i="47" s="1"/>
  <c r="S157" i="58"/>
  <c r="S155" i="58"/>
  <c r="S156" i="58"/>
  <c r="S153" i="58"/>
  <c r="S152" i="58"/>
  <c r="T100" i="58"/>
  <c r="O224" i="58"/>
  <c r="O262" i="58" s="1"/>
  <c r="L124" i="47" s="1"/>
  <c r="O228" i="58"/>
  <c r="O266" i="58" s="1"/>
  <c r="L123" i="47" s="1"/>
  <c r="M153" i="58"/>
  <c r="M235" i="58" s="1"/>
  <c r="M250" i="58" s="1"/>
  <c r="J112" i="47" s="1"/>
  <c r="N94" i="58"/>
  <c r="N153" i="58" s="1"/>
  <c r="O227" i="58"/>
  <c r="O265" i="58" s="1"/>
  <c r="L125" i="47" s="1"/>
  <c r="M225" i="58"/>
  <c r="M263" i="58" s="1"/>
  <c r="J126" i="47" s="1"/>
  <c r="M241" i="58"/>
  <c r="M256" i="58" s="1"/>
  <c r="J114" i="47" s="1"/>
  <c r="T95" i="58"/>
  <c r="S46" i="58"/>
  <c r="S44" i="58"/>
  <c r="S43" i="58"/>
  <c r="S45" i="58"/>
  <c r="Q199" i="58"/>
  <c r="Q201" i="58"/>
  <c r="Q200" i="58"/>
  <c r="Q203" i="58"/>
  <c r="Q204" i="58"/>
  <c r="Q205" i="58"/>
  <c r="Q197" i="58"/>
  <c r="Q198" i="58"/>
  <c r="Q202" i="58"/>
  <c r="Q191" i="58"/>
  <c r="Q193" i="58"/>
  <c r="Q188" i="58"/>
  <c r="Q194" i="58"/>
  <c r="Q189" i="58"/>
  <c r="Q192" i="58"/>
  <c r="Q190" i="58"/>
  <c r="Q187" i="58"/>
  <c r="Q186" i="58"/>
  <c r="P204" i="58"/>
  <c r="P200" i="58"/>
  <c r="P198" i="58"/>
  <c r="P197" i="58"/>
  <c r="P205" i="58"/>
  <c r="P201" i="58"/>
  <c r="P199" i="58"/>
  <c r="P202" i="58"/>
  <c r="P203" i="58"/>
  <c r="M157" i="58"/>
  <c r="M239" i="58" s="1"/>
  <c r="M254" i="58" s="1"/>
  <c r="J110" i="47" s="1"/>
  <c r="N98" i="58"/>
  <c r="N157" i="58" s="1"/>
  <c r="N239" i="58" s="1"/>
  <c r="N254" i="58" s="1"/>
  <c r="K110" i="47" s="1"/>
  <c r="W78" i="58"/>
  <c r="AF73" i="58"/>
  <c r="AC97" i="58"/>
  <c r="AV97" i="58"/>
  <c r="P176" i="58"/>
  <c r="P235" i="58" s="1"/>
  <c r="P250" i="58" s="1"/>
  <c r="M112" i="47" s="1"/>
  <c r="P179" i="58"/>
  <c r="P238" i="58" s="1"/>
  <c r="P253" i="58" s="1"/>
  <c r="M117" i="47" s="1"/>
  <c r="P175" i="58"/>
  <c r="P234" i="58" s="1"/>
  <c r="P249" i="58" s="1"/>
  <c r="M111" i="47" s="1"/>
  <c r="P181" i="58"/>
  <c r="P240" i="58" s="1"/>
  <c r="P255" i="58" s="1"/>
  <c r="M116" i="47" s="1"/>
  <c r="P182" i="58"/>
  <c r="P241" i="58" s="1"/>
  <c r="P256" i="58" s="1"/>
  <c r="M114" i="47" s="1"/>
  <c r="P53" i="58"/>
  <c r="Q49" i="58"/>
  <c r="R49" i="58" s="1"/>
  <c r="P174" i="58"/>
  <c r="P233" i="58" s="1"/>
  <c r="P248" i="58" s="1"/>
  <c r="M109" i="47" s="1"/>
  <c r="P180" i="58"/>
  <c r="P239" i="58" s="1"/>
  <c r="P254" i="58" s="1"/>
  <c r="M110" i="47" s="1"/>
  <c r="P178" i="58"/>
  <c r="P237" i="58" s="1"/>
  <c r="P252" i="58" s="1"/>
  <c r="M115" i="47" s="1"/>
  <c r="P177" i="58"/>
  <c r="P236" i="58" s="1"/>
  <c r="P251" i="58" s="1"/>
  <c r="M113" i="47" s="1"/>
  <c r="M156" i="58"/>
  <c r="M238" i="58" s="1"/>
  <c r="M253" i="58" s="1"/>
  <c r="J117" i="47" s="1"/>
  <c r="N97" i="58"/>
  <c r="N156" i="58" s="1"/>
  <c r="M155" i="58"/>
  <c r="M237" i="58" s="1"/>
  <c r="M252" i="58" s="1"/>
  <c r="J115" i="47" s="1"/>
  <c r="N96" i="58"/>
  <c r="N155" i="58" s="1"/>
  <c r="M152" i="58"/>
  <c r="M234" i="58" s="1"/>
  <c r="M249" i="58" s="1"/>
  <c r="J111" i="47" s="1"/>
  <c r="N93" i="58"/>
  <c r="N152" i="58" s="1"/>
  <c r="M154" i="58"/>
  <c r="M236" i="58" s="1"/>
  <c r="M251" i="58" s="1"/>
  <c r="J113" i="47" s="1"/>
  <c r="N95" i="58"/>
  <c r="N154" i="58" s="1"/>
  <c r="P216" i="58"/>
  <c r="P209" i="58"/>
  <c r="P212" i="58"/>
  <c r="P208" i="58"/>
  <c r="P211" i="58"/>
  <c r="P215" i="58"/>
  <c r="P214" i="58"/>
  <c r="P210" i="58"/>
  <c r="P213" i="58"/>
  <c r="Q215" i="58"/>
  <c r="Q211" i="58"/>
  <c r="Q214" i="58"/>
  <c r="Q208" i="58"/>
  <c r="Q210" i="58"/>
  <c r="Q213" i="58"/>
  <c r="Q209" i="58"/>
  <c r="Q216" i="58"/>
  <c r="Q212" i="58"/>
  <c r="W70" i="58"/>
  <c r="N213" i="58"/>
  <c r="N202" i="58"/>
  <c r="N191" i="58"/>
  <c r="N179" i="58"/>
  <c r="N175" i="58"/>
  <c r="N187" i="58"/>
  <c r="N209" i="58"/>
  <c r="N198" i="58"/>
  <c r="L258" i="58"/>
  <c r="I118" i="47" s="1"/>
  <c r="L245" i="58"/>
  <c r="W73" i="58"/>
  <c r="AE78" i="58"/>
  <c r="X72" i="58"/>
  <c r="N197" i="58"/>
  <c r="N186" i="58"/>
  <c r="N208" i="58"/>
  <c r="N174" i="58"/>
  <c r="T98" i="58"/>
  <c r="N176" i="58"/>
  <c r="N210" i="58"/>
  <c r="N188" i="58"/>
  <c r="N199" i="58"/>
  <c r="T93" i="58"/>
  <c r="N200" i="58"/>
  <c r="N177" i="58"/>
  <c r="N189" i="58"/>
  <c r="N211" i="58"/>
  <c r="S170" i="58"/>
  <c r="S166" i="58"/>
  <c r="S165" i="58"/>
  <c r="S162" i="58"/>
  <c r="S167" i="58"/>
  <c r="S168" i="58"/>
  <c r="S169" i="58"/>
  <c r="S164" i="58"/>
  <c r="S163" i="58"/>
  <c r="T94" i="58"/>
  <c r="T92" i="58"/>
  <c r="W75" i="58"/>
  <c r="N201" i="58"/>
  <c r="N212" i="58"/>
  <c r="N190" i="58"/>
  <c r="N178" i="58"/>
  <c r="M221" i="58"/>
  <c r="M259" i="58" s="1"/>
  <c r="J120" i="47" s="1"/>
  <c r="T96" i="58"/>
  <c r="AC98" i="58"/>
  <c r="AV98" i="58"/>
  <c r="AC93" i="58"/>
  <c r="AV93" i="58"/>
  <c r="M223" i="58"/>
  <c r="M261" i="58" s="1"/>
  <c r="J122" i="47" s="1"/>
  <c r="R51" i="58"/>
  <c r="AC94" i="58"/>
  <c r="AV94" i="58"/>
  <c r="AC92" i="58"/>
  <c r="AV92" i="58"/>
  <c r="AF75" i="58"/>
  <c r="AE70" i="58"/>
  <c r="M224" i="58"/>
  <c r="M262" i="58" s="1"/>
  <c r="J124" i="47" s="1"/>
  <c r="AC96" i="58"/>
  <c r="AV96" i="58"/>
  <c r="T99" i="58"/>
  <c r="AC100" i="58"/>
  <c r="AV100" i="58"/>
  <c r="R50" i="58"/>
  <c r="M220" i="58"/>
  <c r="AC95" i="58"/>
  <c r="AV95" i="58"/>
  <c r="M151" i="58"/>
  <c r="M233" i="58" s="1"/>
  <c r="M248" i="58" s="1"/>
  <c r="J109" i="47" s="1"/>
  <c r="N92" i="58"/>
  <c r="N151" i="58" s="1"/>
  <c r="M222" i="58"/>
  <c r="M260" i="58" s="1"/>
  <c r="J121" i="47" s="1"/>
  <c r="N216" i="58"/>
  <c r="N182" i="58"/>
  <c r="N241" i="58" s="1"/>
  <c r="N256" i="58" s="1"/>
  <c r="K114" i="47" s="1"/>
  <c r="N194" i="58"/>
  <c r="N205" i="58"/>
  <c r="W74" i="58"/>
  <c r="AF72" i="58"/>
  <c r="AC99" i="58"/>
  <c r="AV99" i="58"/>
  <c r="M228" i="58"/>
  <c r="M266" i="58" s="1"/>
  <c r="J123" i="47" s="1"/>
  <c r="R52" i="58"/>
  <c r="U23" i="58"/>
  <c r="T31" i="58"/>
  <c r="T34" i="58" s="1"/>
  <c r="T35" i="58" s="1"/>
  <c r="T36" i="58" s="1"/>
  <c r="T41" i="58" s="1"/>
  <c r="AF71" i="58"/>
  <c r="W71" i="58"/>
  <c r="T97" i="58"/>
  <c r="P189" i="58"/>
  <c r="P192" i="58"/>
  <c r="P191" i="58"/>
  <c r="P190" i="58"/>
  <c r="P188" i="58"/>
  <c r="P186" i="58"/>
  <c r="P187" i="58"/>
  <c r="P221" i="58" s="1"/>
  <c r="P259" i="58" s="1"/>
  <c r="M120" i="47" s="1"/>
  <c r="P194" i="58"/>
  <c r="P193" i="58"/>
  <c r="M158" i="58"/>
  <c r="M240" i="58" s="1"/>
  <c r="M255" i="58" s="1"/>
  <c r="J116" i="47" s="1"/>
  <c r="N99" i="58"/>
  <c r="N158" i="58" s="1"/>
  <c r="N240" i="58" s="1"/>
  <c r="N255" i="58" s="1"/>
  <c r="K116" i="47" s="1"/>
  <c r="AF74" i="58"/>
  <c r="BI200" i="57"/>
  <c r="BF219" i="57"/>
  <c r="O35" i="44"/>
  <c r="V10" i="58"/>
  <c r="N25" i="44"/>
  <c r="N26" i="44" s="1"/>
  <c r="E177" i="57"/>
  <c r="E178" i="57"/>
  <c r="E173" i="57"/>
  <c r="E175" i="57"/>
  <c r="E174" i="57"/>
  <c r="E172" i="57"/>
  <c r="E179" i="57"/>
  <c r="R121" i="56"/>
  <c r="O147" i="56" s="1"/>
  <c r="O127" i="47"/>
  <c r="P49" i="29"/>
  <c r="L85" i="47"/>
  <c r="P50" i="29"/>
  <c r="L86" i="47"/>
  <c r="L108" i="47"/>
  <c r="W6" i="35"/>
  <c r="R48" i="29"/>
  <c r="S48" i="29" s="1"/>
  <c r="N48" i="29"/>
  <c r="M108" i="47"/>
  <c r="Q51" i="29"/>
  <c r="O108" i="47" s="1"/>
  <c r="O23" i="35"/>
  <c r="K8" i="47"/>
  <c r="O26" i="35"/>
  <c r="K7" i="47"/>
  <c r="K9" i="47"/>
  <c r="O24" i="35"/>
  <c r="P25" i="35"/>
  <c r="L6" i="47"/>
  <c r="O22" i="35"/>
  <c r="K5" i="47"/>
  <c r="AE83" i="47"/>
  <c r="AI47" i="29"/>
  <c r="W83" i="47"/>
  <c r="AA47" i="29"/>
  <c r="Z61" i="57" l="1"/>
  <c r="Z110" i="57"/>
  <c r="H110" i="57" s="1"/>
  <c r="Q111" i="57"/>
  <c r="Z111" i="57" s="1"/>
  <c r="H111" i="57" s="1"/>
  <c r="P220" i="58"/>
  <c r="V23" i="58"/>
  <c r="S89" i="56"/>
  <c r="Q59" i="57"/>
  <c r="H58" i="57"/>
  <c r="P60" i="57"/>
  <c r="G59" i="57"/>
  <c r="G60" i="57" s="1"/>
  <c r="Q61" i="57"/>
  <c r="O186" i="56"/>
  <c r="P186" i="56"/>
  <c r="L97" i="47"/>
  <c r="N235" i="58"/>
  <c r="N250" i="58" s="1"/>
  <c r="K112" i="47" s="1"/>
  <c r="P224" i="58"/>
  <c r="P262" i="58" s="1"/>
  <c r="M124" i="47" s="1"/>
  <c r="O245" i="58"/>
  <c r="T168" i="58"/>
  <c r="T169" i="58"/>
  <c r="T163" i="58"/>
  <c r="T167" i="58"/>
  <c r="T162" i="58"/>
  <c r="T166" i="58"/>
  <c r="T170" i="58"/>
  <c r="T164" i="58"/>
  <c r="T165" i="58"/>
  <c r="T159" i="58"/>
  <c r="T154" i="58"/>
  <c r="P222" i="58"/>
  <c r="P260" i="58" s="1"/>
  <c r="M121" i="47" s="1"/>
  <c r="P225" i="58"/>
  <c r="P263" i="58" s="1"/>
  <c r="M126" i="47" s="1"/>
  <c r="N233" i="58"/>
  <c r="N248" i="58" s="1"/>
  <c r="K109" i="47" s="1"/>
  <c r="P226" i="58"/>
  <c r="P264" i="58" s="1"/>
  <c r="M119" i="47" s="1"/>
  <c r="P227" i="58"/>
  <c r="P265" i="58" s="1"/>
  <c r="M125" i="47" s="1"/>
  <c r="P228" i="58"/>
  <c r="P266" i="58" s="1"/>
  <c r="M123" i="47" s="1"/>
  <c r="U95" i="58"/>
  <c r="V95" i="58" s="1"/>
  <c r="U100" i="58"/>
  <c r="V100" i="58" s="1"/>
  <c r="AD92" i="58"/>
  <c r="AE92" i="58" s="1"/>
  <c r="AD96" i="58"/>
  <c r="AD94" i="58"/>
  <c r="AE94" i="58" s="1"/>
  <c r="AD99" i="58"/>
  <c r="P223" i="58"/>
  <c r="P261" i="58" s="1"/>
  <c r="M122" i="47" s="1"/>
  <c r="AD93" i="58"/>
  <c r="AD98" i="58"/>
  <c r="AD97" i="58"/>
  <c r="AD100" i="58"/>
  <c r="AD95" i="58"/>
  <c r="N222" i="58"/>
  <c r="N260" i="58" s="1"/>
  <c r="K121" i="47" s="1"/>
  <c r="X73" i="58"/>
  <c r="X70" i="58"/>
  <c r="N237" i="58"/>
  <c r="N252" i="58" s="1"/>
  <c r="K115" i="47" s="1"/>
  <c r="P258" i="58"/>
  <c r="M118" i="47" s="1"/>
  <c r="X75" i="58"/>
  <c r="Q220" i="58"/>
  <c r="X74" i="58"/>
  <c r="U31" i="58"/>
  <c r="U34" i="58" s="1"/>
  <c r="U35" i="58" s="1"/>
  <c r="U36" i="58" s="1"/>
  <c r="U41" i="58" s="1"/>
  <c r="R175" i="58"/>
  <c r="R234" i="58" s="1"/>
  <c r="R249" i="58" s="1"/>
  <c r="O111" i="47" s="1"/>
  <c r="R178" i="58"/>
  <c r="R237" i="58" s="1"/>
  <c r="R252" i="58" s="1"/>
  <c r="O115" i="47" s="1"/>
  <c r="R176" i="58"/>
  <c r="R235" i="58" s="1"/>
  <c r="R250" i="58" s="1"/>
  <c r="O112" i="47" s="1"/>
  <c r="R179" i="58"/>
  <c r="R238" i="58" s="1"/>
  <c r="R253" i="58" s="1"/>
  <c r="O117" i="47" s="1"/>
  <c r="R180" i="58"/>
  <c r="R239" i="58" s="1"/>
  <c r="R254" i="58" s="1"/>
  <c r="O110" i="47" s="1"/>
  <c r="R177" i="58"/>
  <c r="R236" i="58" s="1"/>
  <c r="R251" i="58" s="1"/>
  <c r="O113" i="47" s="1"/>
  <c r="R181" i="58"/>
  <c r="R240" i="58" s="1"/>
  <c r="R255" i="58" s="1"/>
  <c r="O116" i="47" s="1"/>
  <c r="R53" i="58"/>
  <c r="R174" i="58"/>
  <c r="R233" i="58" s="1"/>
  <c r="R248" i="58" s="1"/>
  <c r="O109" i="47" s="1"/>
  <c r="R182" i="58"/>
  <c r="R241" i="58" s="1"/>
  <c r="R256" i="58" s="1"/>
  <c r="O114" i="47" s="1"/>
  <c r="M258" i="58"/>
  <c r="J118" i="47" s="1"/>
  <c r="M245" i="58"/>
  <c r="N238" i="58"/>
  <c r="N253" i="58" s="1"/>
  <c r="K117" i="47" s="1"/>
  <c r="Q221" i="58"/>
  <c r="Q259" i="58" s="1"/>
  <c r="N120" i="47" s="1"/>
  <c r="R210" i="58"/>
  <c r="R212" i="58"/>
  <c r="R213" i="58"/>
  <c r="R209" i="58"/>
  <c r="R211" i="58"/>
  <c r="R215" i="58"/>
  <c r="R214" i="58"/>
  <c r="R208" i="58"/>
  <c r="R216" i="58"/>
  <c r="R194" i="58"/>
  <c r="R191" i="58"/>
  <c r="R187" i="58"/>
  <c r="R188" i="58"/>
  <c r="R190" i="58"/>
  <c r="R186" i="58"/>
  <c r="R189" i="58"/>
  <c r="R192" i="58"/>
  <c r="R193" i="58"/>
  <c r="T157" i="58"/>
  <c r="U98" i="58"/>
  <c r="Q224" i="58"/>
  <c r="Q262" i="58" s="1"/>
  <c r="N124" i="47" s="1"/>
  <c r="N228" i="58"/>
  <c r="N266" i="58" s="1"/>
  <c r="K123" i="47" s="1"/>
  <c r="T151" i="58"/>
  <c r="U92" i="58"/>
  <c r="Q226" i="58"/>
  <c r="Q264" i="58" s="1"/>
  <c r="N119" i="47" s="1"/>
  <c r="T153" i="58"/>
  <c r="U94" i="58"/>
  <c r="Q223" i="58"/>
  <c r="Q261" i="58" s="1"/>
  <c r="N122" i="47" s="1"/>
  <c r="V31" i="58"/>
  <c r="V34" i="58" s="1"/>
  <c r="V35" i="58" s="1"/>
  <c r="V36" i="58" s="1"/>
  <c r="AG74" i="58"/>
  <c r="AF70" i="58"/>
  <c r="N220" i="58"/>
  <c r="N221" i="58"/>
  <c r="N259" i="58" s="1"/>
  <c r="K120" i="47" s="1"/>
  <c r="Q228" i="58"/>
  <c r="Q266" i="58" s="1"/>
  <c r="N123" i="47" s="1"/>
  <c r="T156" i="58"/>
  <c r="U97" i="58"/>
  <c r="AG75" i="58"/>
  <c r="R201" i="58"/>
  <c r="R197" i="58"/>
  <c r="R198" i="58"/>
  <c r="R199" i="58"/>
  <c r="R200" i="58"/>
  <c r="R203" i="58"/>
  <c r="R204" i="58"/>
  <c r="R205" i="58"/>
  <c r="R202" i="58"/>
  <c r="T155" i="58"/>
  <c r="U96" i="58"/>
  <c r="N223" i="58"/>
  <c r="N261" i="58" s="1"/>
  <c r="K122" i="47" s="1"/>
  <c r="Q222" i="58"/>
  <c r="Q260" i="58" s="1"/>
  <c r="N121" i="47" s="1"/>
  <c r="S51" i="58"/>
  <c r="X71" i="58"/>
  <c r="T158" i="58"/>
  <c r="U99" i="58"/>
  <c r="N236" i="58"/>
  <c r="N251" i="58" s="1"/>
  <c r="K113" i="47" s="1"/>
  <c r="Q53" i="58"/>
  <c r="Q177" i="58"/>
  <c r="Q236" i="58" s="1"/>
  <c r="Q251" i="58" s="1"/>
  <c r="N113" i="47" s="1"/>
  <c r="Q175" i="58"/>
  <c r="Q234" i="58" s="1"/>
  <c r="Q249" i="58" s="1"/>
  <c r="N111" i="47" s="1"/>
  <c r="Q174" i="58"/>
  <c r="Q233" i="58" s="1"/>
  <c r="Q248" i="58" s="1"/>
  <c r="N109" i="47" s="1"/>
  <c r="Q179" i="58"/>
  <c r="Q238" i="58" s="1"/>
  <c r="Q253" i="58" s="1"/>
  <c r="N117" i="47" s="1"/>
  <c r="Q178" i="58"/>
  <c r="Q237" i="58" s="1"/>
  <c r="Q252" i="58" s="1"/>
  <c r="N115" i="47" s="1"/>
  <c r="Q180" i="58"/>
  <c r="Q239" i="58" s="1"/>
  <c r="Q254" i="58" s="1"/>
  <c r="N110" i="47" s="1"/>
  <c r="Q176" i="58"/>
  <c r="Q235" i="58" s="1"/>
  <c r="Q250" i="58" s="1"/>
  <c r="N112" i="47" s="1"/>
  <c r="Q182" i="58"/>
  <c r="Q241" i="58" s="1"/>
  <c r="Q256" i="58" s="1"/>
  <c r="N114" i="47" s="1"/>
  <c r="Q181" i="58"/>
  <c r="Q240" i="58" s="1"/>
  <c r="Q255" i="58" s="1"/>
  <c r="N116" i="47" s="1"/>
  <c r="AG73" i="58"/>
  <c r="Q227" i="58"/>
  <c r="Q265" i="58" s="1"/>
  <c r="N125" i="47" s="1"/>
  <c r="S49" i="58"/>
  <c r="Y72" i="58"/>
  <c r="N225" i="58"/>
  <c r="N263" i="58" s="1"/>
  <c r="K126" i="47" s="1"/>
  <c r="Q225" i="58"/>
  <c r="Q263" i="58" s="1"/>
  <c r="N126" i="47" s="1"/>
  <c r="S50" i="58"/>
  <c r="T43" i="58"/>
  <c r="T45" i="58"/>
  <c r="T46" i="58"/>
  <c r="T44" i="58"/>
  <c r="AG71" i="58"/>
  <c r="AG72" i="58"/>
  <c r="N224" i="58"/>
  <c r="N262" i="58" s="1"/>
  <c r="K124" i="47" s="1"/>
  <c r="T152" i="58"/>
  <c r="U93" i="58"/>
  <c r="N234" i="58"/>
  <c r="N249" i="58" s="1"/>
  <c r="K111" i="47" s="1"/>
  <c r="X78" i="58"/>
  <c r="S52" i="58"/>
  <c r="AF78" i="58"/>
  <c r="U24" i="58"/>
  <c r="V24" i="58" s="1"/>
  <c r="E181" i="57"/>
  <c r="E182" i="57" s="1"/>
  <c r="AE32" i="57"/>
  <c r="X83" i="47"/>
  <c r="Y83" i="47"/>
  <c r="O25" i="44"/>
  <c r="O26" i="44" s="1"/>
  <c r="P35" i="44"/>
  <c r="W10" i="58"/>
  <c r="W23" i="58" s="1"/>
  <c r="Q49" i="29"/>
  <c r="M85" i="47"/>
  <c r="Q50" i="29"/>
  <c r="O86" i="47" s="1"/>
  <c r="M86" i="47"/>
  <c r="K84" i="47"/>
  <c r="O48" i="29"/>
  <c r="P26" i="35"/>
  <c r="L7" i="47"/>
  <c r="Q25" i="35"/>
  <c r="M6" i="47"/>
  <c r="P24" i="35"/>
  <c r="L9" i="47"/>
  <c r="L8" i="47"/>
  <c r="P23" i="35"/>
  <c r="P22" i="35"/>
  <c r="L5" i="47"/>
  <c r="AF83" i="47"/>
  <c r="AJ47" i="29"/>
  <c r="Q60" i="57" l="1"/>
  <c r="H59" i="57"/>
  <c r="H60" i="57" s="1"/>
  <c r="U154" i="58"/>
  <c r="P245" i="58"/>
  <c r="U169" i="58"/>
  <c r="U168" i="58"/>
  <c r="U164" i="58"/>
  <c r="U163" i="58"/>
  <c r="U166" i="58"/>
  <c r="U170" i="58"/>
  <c r="U167" i="58"/>
  <c r="U165" i="58"/>
  <c r="U162" i="58"/>
  <c r="U159" i="58"/>
  <c r="V41" i="58"/>
  <c r="V44" i="58" s="1"/>
  <c r="V169" i="58"/>
  <c r="V168" i="58"/>
  <c r="V164" i="58"/>
  <c r="V170" i="58"/>
  <c r="V167" i="58"/>
  <c r="V166" i="58"/>
  <c r="V162" i="58"/>
  <c r="V165" i="58"/>
  <c r="V163" i="58"/>
  <c r="AE99" i="58"/>
  <c r="AF99" i="58" s="1"/>
  <c r="AE96" i="58"/>
  <c r="AE93" i="58"/>
  <c r="AF93" i="58" s="1"/>
  <c r="AE95" i="58"/>
  <c r="AF95" i="58" s="1"/>
  <c r="AE98" i="58"/>
  <c r="AF98" i="58" s="1"/>
  <c r="T51" i="58"/>
  <c r="T205" i="58" s="1"/>
  <c r="T50" i="58"/>
  <c r="T193" i="58" s="1"/>
  <c r="AE97" i="58"/>
  <c r="R224" i="58"/>
  <c r="R262" i="58" s="1"/>
  <c r="O124" i="47" s="1"/>
  <c r="AE100" i="58"/>
  <c r="AF92" i="58"/>
  <c r="AH75" i="58"/>
  <c r="V43" i="58"/>
  <c r="U151" i="58"/>
  <c r="V92" i="58"/>
  <c r="R227" i="58"/>
  <c r="R265" i="58" s="1"/>
  <c r="O125" i="47" s="1"/>
  <c r="AH71" i="58"/>
  <c r="U155" i="58"/>
  <c r="V96" i="58"/>
  <c r="R226" i="58"/>
  <c r="R264" i="58" s="1"/>
  <c r="O119" i="47" s="1"/>
  <c r="Y74" i="58"/>
  <c r="R223" i="58"/>
  <c r="R261" i="58" s="1"/>
  <c r="O122" i="47" s="1"/>
  <c r="Q258" i="58"/>
  <c r="N118" i="47" s="1"/>
  <c r="Q245" i="58"/>
  <c r="S211" i="58"/>
  <c r="S214" i="58"/>
  <c r="S216" i="58"/>
  <c r="S212" i="58"/>
  <c r="S215" i="58"/>
  <c r="S209" i="58"/>
  <c r="S213" i="58"/>
  <c r="S210" i="58"/>
  <c r="S208" i="58"/>
  <c r="S53" i="58"/>
  <c r="S177" i="58"/>
  <c r="S236" i="58" s="1"/>
  <c r="S251" i="58" s="1"/>
  <c r="P113" i="47" s="1"/>
  <c r="S174" i="58"/>
  <c r="S233" i="58" s="1"/>
  <c r="S248" i="58" s="1"/>
  <c r="P109" i="47" s="1"/>
  <c r="S178" i="58"/>
  <c r="S237" i="58" s="1"/>
  <c r="S252" i="58" s="1"/>
  <c r="P115" i="47" s="1"/>
  <c r="S179" i="58"/>
  <c r="S238" i="58" s="1"/>
  <c r="S253" i="58" s="1"/>
  <c r="P117" i="47" s="1"/>
  <c r="S176" i="58"/>
  <c r="S235" i="58" s="1"/>
  <c r="S250" i="58" s="1"/>
  <c r="P112" i="47" s="1"/>
  <c r="S175" i="58"/>
  <c r="S234" i="58" s="1"/>
  <c r="S249" i="58" s="1"/>
  <c r="P111" i="47" s="1"/>
  <c r="S180" i="58"/>
  <c r="S239" i="58" s="1"/>
  <c r="S254" i="58" s="1"/>
  <c r="P110" i="47" s="1"/>
  <c r="S181" i="58"/>
  <c r="S240" i="58" s="1"/>
  <c r="S255" i="58" s="1"/>
  <c r="P116" i="47" s="1"/>
  <c r="S182" i="58"/>
  <c r="S241" i="58" s="1"/>
  <c r="S256" i="58" s="1"/>
  <c r="P114" i="47" s="1"/>
  <c r="U156" i="58"/>
  <c r="V97" i="58"/>
  <c r="V159" i="58"/>
  <c r="W100" i="58"/>
  <c r="R220" i="58"/>
  <c r="T52" i="58"/>
  <c r="Y75" i="58"/>
  <c r="Y78" i="58"/>
  <c r="T204" i="58"/>
  <c r="T198" i="58"/>
  <c r="T197" i="58"/>
  <c r="AH73" i="58"/>
  <c r="U153" i="58"/>
  <c r="V94" i="58"/>
  <c r="R222" i="58"/>
  <c r="R260" i="58" s="1"/>
  <c r="O121" i="47" s="1"/>
  <c r="T49" i="58"/>
  <c r="U158" i="58"/>
  <c r="V99" i="58"/>
  <c r="R221" i="58"/>
  <c r="R259" i="58" s="1"/>
  <c r="O120" i="47" s="1"/>
  <c r="U152" i="58"/>
  <c r="V93" i="58"/>
  <c r="S187" i="58"/>
  <c r="S186" i="58"/>
  <c r="S190" i="58"/>
  <c r="S191" i="58"/>
  <c r="S188" i="58"/>
  <c r="S194" i="58"/>
  <c r="S192" i="58"/>
  <c r="S193" i="58"/>
  <c r="S189" i="58"/>
  <c r="N258" i="58"/>
  <c r="K118" i="47" s="1"/>
  <c r="N245" i="58"/>
  <c r="R225" i="58"/>
  <c r="R263" i="58" s="1"/>
  <c r="O126" i="47" s="1"/>
  <c r="W24" i="58"/>
  <c r="AG70" i="58"/>
  <c r="AF94" i="58"/>
  <c r="V98" i="58"/>
  <c r="U157" i="58"/>
  <c r="R228" i="58"/>
  <c r="R266" i="58" s="1"/>
  <c r="O123" i="47" s="1"/>
  <c r="AG78" i="58"/>
  <c r="Y71" i="58"/>
  <c r="Y70" i="58"/>
  <c r="Z72" i="58"/>
  <c r="S197" i="58"/>
  <c r="S204" i="58"/>
  <c r="S203" i="58"/>
  <c r="S200" i="58"/>
  <c r="S198" i="58"/>
  <c r="S202" i="58"/>
  <c r="S205" i="58"/>
  <c r="S199" i="58"/>
  <c r="S201" i="58"/>
  <c r="AH74" i="58"/>
  <c r="V154" i="58"/>
  <c r="W95" i="58"/>
  <c r="U44" i="58"/>
  <c r="U43" i="58"/>
  <c r="U45" i="58"/>
  <c r="U46" i="58"/>
  <c r="W31" i="58"/>
  <c r="W34" i="58" s="1"/>
  <c r="W35" i="58" s="1"/>
  <c r="AH72" i="58"/>
  <c r="Y73" i="58"/>
  <c r="N85" i="47"/>
  <c r="O85" i="47"/>
  <c r="P25" i="44"/>
  <c r="P26" i="44" s="1"/>
  <c r="Q35" i="44"/>
  <c r="X10" i="58"/>
  <c r="X23" i="58" s="1"/>
  <c r="X6" i="35"/>
  <c r="N86" i="47"/>
  <c r="N108" i="47"/>
  <c r="Y6" i="35"/>
  <c r="P48" i="29"/>
  <c r="L84" i="47"/>
  <c r="Q24" i="35"/>
  <c r="M9" i="47"/>
  <c r="R25" i="35"/>
  <c r="N6" i="47"/>
  <c r="Q22" i="35"/>
  <c r="M5" i="47"/>
  <c r="Q23" i="35"/>
  <c r="M8" i="47"/>
  <c r="Q26" i="35"/>
  <c r="M7" i="47"/>
  <c r="AG83" i="47"/>
  <c r="AK47" i="29"/>
  <c r="T199" i="58" l="1"/>
  <c r="T201" i="58"/>
  <c r="T203" i="58"/>
  <c r="T200" i="58"/>
  <c r="T202" i="58"/>
  <c r="U51" i="58"/>
  <c r="U49" i="58"/>
  <c r="U182" i="58" s="1"/>
  <c r="U241" i="58" s="1"/>
  <c r="U256" i="58" s="1"/>
  <c r="R114" i="47" s="1"/>
  <c r="V45" i="58"/>
  <c r="V51" i="58" s="1"/>
  <c r="V46" i="58"/>
  <c r="W169" i="58"/>
  <c r="W168" i="58"/>
  <c r="W164" i="58"/>
  <c r="W166" i="58"/>
  <c r="W165" i="58"/>
  <c r="W163" i="58"/>
  <c r="W170" i="58"/>
  <c r="W162" i="58"/>
  <c r="W167" i="58"/>
  <c r="W36" i="58"/>
  <c r="W41" i="58" s="1"/>
  <c r="W44" i="58" s="1"/>
  <c r="T187" i="58"/>
  <c r="AF96" i="58"/>
  <c r="T186" i="58"/>
  <c r="T189" i="58"/>
  <c r="U50" i="58"/>
  <c r="U192" i="58" s="1"/>
  <c r="T192" i="58"/>
  <c r="T194" i="58"/>
  <c r="T191" i="58"/>
  <c r="T190" i="58"/>
  <c r="T188" i="58"/>
  <c r="AF97" i="58"/>
  <c r="S221" i="58"/>
  <c r="S259" i="58" s="1"/>
  <c r="P120" i="47" s="1"/>
  <c r="AF100" i="58"/>
  <c r="S228" i="58"/>
  <c r="S266" i="58" s="1"/>
  <c r="P123" i="47" s="1"/>
  <c r="S225" i="58"/>
  <c r="S263" i="58" s="1"/>
  <c r="P126" i="47" s="1"/>
  <c r="Z73" i="58"/>
  <c r="U177" i="58"/>
  <c r="U236" i="58" s="1"/>
  <c r="U251" i="58" s="1"/>
  <c r="R113" i="47" s="1"/>
  <c r="S226" i="58"/>
  <c r="S264" i="58" s="1"/>
  <c r="P119" i="47" s="1"/>
  <c r="T182" i="58"/>
  <c r="T241" i="58" s="1"/>
  <c r="T256" i="58" s="1"/>
  <c r="Q114" i="47" s="1"/>
  <c r="T174" i="58"/>
  <c r="T233" i="58" s="1"/>
  <c r="T248" i="58" s="1"/>
  <c r="Q109" i="47" s="1"/>
  <c r="T179" i="58"/>
  <c r="T238" i="58" s="1"/>
  <c r="T253" i="58" s="1"/>
  <c r="Q117" i="47" s="1"/>
  <c r="T181" i="58"/>
  <c r="T240" i="58" s="1"/>
  <c r="T255" i="58" s="1"/>
  <c r="Q116" i="47" s="1"/>
  <c r="T180" i="58"/>
  <c r="T239" i="58" s="1"/>
  <c r="T254" i="58" s="1"/>
  <c r="Q110" i="47" s="1"/>
  <c r="T176" i="58"/>
  <c r="T235" i="58" s="1"/>
  <c r="T250" i="58" s="1"/>
  <c r="Q112" i="47" s="1"/>
  <c r="T177" i="58"/>
  <c r="T236" i="58" s="1"/>
  <c r="T251" i="58" s="1"/>
  <c r="Q113" i="47" s="1"/>
  <c r="T178" i="58"/>
  <c r="T237" i="58" s="1"/>
  <c r="T252" i="58" s="1"/>
  <c r="Q115" i="47" s="1"/>
  <c r="T53" i="58"/>
  <c r="T175" i="58"/>
  <c r="T234" i="58" s="1"/>
  <c r="T249" i="58" s="1"/>
  <c r="Q111" i="47" s="1"/>
  <c r="AG99" i="58"/>
  <c r="V157" i="58"/>
  <c r="W98" i="58"/>
  <c r="V156" i="58"/>
  <c r="W97" i="58"/>
  <c r="W154" i="58"/>
  <c r="X95" i="58"/>
  <c r="AG94" i="58"/>
  <c r="S222" i="58"/>
  <c r="S260" i="58" s="1"/>
  <c r="P121" i="47" s="1"/>
  <c r="V153" i="58"/>
  <c r="W94" i="58"/>
  <c r="AG95" i="58"/>
  <c r="V151" i="58"/>
  <c r="W92" i="58"/>
  <c r="AA72" i="58"/>
  <c r="Z78" i="58"/>
  <c r="AI72" i="58"/>
  <c r="AJ72" i="58" s="1"/>
  <c r="AI74" i="58"/>
  <c r="AJ74" i="58" s="1"/>
  <c r="AH70" i="58"/>
  <c r="S224" i="58"/>
  <c r="S262" i="58" s="1"/>
  <c r="P124" i="47" s="1"/>
  <c r="AI73" i="58"/>
  <c r="AJ73" i="58" s="1"/>
  <c r="Z74" i="58"/>
  <c r="Z70" i="58"/>
  <c r="S220" i="58"/>
  <c r="Z75" i="58"/>
  <c r="AG93" i="58"/>
  <c r="X24" i="58"/>
  <c r="V152" i="58"/>
  <c r="W93" i="58"/>
  <c r="T215" i="58"/>
  <c r="T227" i="58" s="1"/>
  <c r="T265" i="58" s="1"/>
  <c r="Q125" i="47" s="1"/>
  <c r="T211" i="58"/>
  <c r="T214" i="58"/>
  <c r="T226" i="58" s="1"/>
  <c r="T264" i="58" s="1"/>
  <c r="Q119" i="47" s="1"/>
  <c r="T208" i="58"/>
  <c r="T216" i="58"/>
  <c r="T228" i="58" s="1"/>
  <c r="T266" i="58" s="1"/>
  <c r="Q123" i="47" s="1"/>
  <c r="T213" i="58"/>
  <c r="T212" i="58"/>
  <c r="T210" i="58"/>
  <c r="T209" i="58"/>
  <c r="V155" i="58"/>
  <c r="W96" i="58"/>
  <c r="X31" i="58"/>
  <c r="X34" i="58" s="1"/>
  <c r="X35" i="58" s="1"/>
  <c r="Z71" i="58"/>
  <c r="R245" i="58"/>
  <c r="R258" i="58"/>
  <c r="O118" i="47" s="1"/>
  <c r="AI75" i="58"/>
  <c r="AJ75" i="58" s="1"/>
  <c r="AH78" i="58"/>
  <c r="AI71" i="58"/>
  <c r="AJ71" i="58" s="1"/>
  <c r="U52" i="58"/>
  <c r="S223" i="58"/>
  <c r="S261" i="58" s="1"/>
  <c r="P122" i="47" s="1"/>
  <c r="V158" i="58"/>
  <c r="W99" i="58"/>
  <c r="AG98" i="58"/>
  <c r="AG92" i="58"/>
  <c r="U201" i="58"/>
  <c r="U205" i="58"/>
  <c r="U197" i="58"/>
  <c r="U199" i="58"/>
  <c r="U203" i="58"/>
  <c r="U200" i="58"/>
  <c r="U204" i="58"/>
  <c r="U198" i="58"/>
  <c r="U202" i="58"/>
  <c r="S227" i="58"/>
  <c r="S265" i="58" s="1"/>
  <c r="P125" i="47" s="1"/>
  <c r="W159" i="58"/>
  <c r="X100" i="58"/>
  <c r="AH83" i="47"/>
  <c r="AI83" i="47"/>
  <c r="R35" i="44"/>
  <c r="Y10" i="58"/>
  <c r="Y23" i="58" s="1"/>
  <c r="Z6" i="35"/>
  <c r="Q25" i="44"/>
  <c r="Q26" i="44" s="1"/>
  <c r="M84" i="47"/>
  <c r="Q48" i="29"/>
  <c r="S25" i="35"/>
  <c r="O6" i="47"/>
  <c r="R24" i="35"/>
  <c r="N9" i="47"/>
  <c r="N7" i="47"/>
  <c r="R26" i="35"/>
  <c r="N8" i="47"/>
  <c r="R23" i="35"/>
  <c r="N5" i="47"/>
  <c r="R22" i="35"/>
  <c r="T223" i="58" l="1"/>
  <c r="T261" i="58" s="1"/>
  <c r="Q122" i="47" s="1"/>
  <c r="V50" i="58"/>
  <c r="U191" i="58"/>
  <c r="U190" i="58"/>
  <c r="U188" i="58"/>
  <c r="U187" i="58"/>
  <c r="T221" i="58"/>
  <c r="T259" i="58" s="1"/>
  <c r="Q120" i="47" s="1"/>
  <c r="V52" i="58"/>
  <c r="V213" i="58" s="1"/>
  <c r="U175" i="58"/>
  <c r="U234" i="58" s="1"/>
  <c r="U249" i="58" s="1"/>
  <c r="R111" i="47" s="1"/>
  <c r="U178" i="58"/>
  <c r="U237" i="58" s="1"/>
  <c r="U252" i="58" s="1"/>
  <c r="R115" i="47" s="1"/>
  <c r="U181" i="58"/>
  <c r="U240" i="58" s="1"/>
  <c r="U255" i="58" s="1"/>
  <c r="R116" i="47" s="1"/>
  <c r="U194" i="58"/>
  <c r="U179" i="58"/>
  <c r="U238" i="58" s="1"/>
  <c r="U253" i="58" s="1"/>
  <c r="R117" i="47" s="1"/>
  <c r="U186" i="58"/>
  <c r="U174" i="58"/>
  <c r="U233" i="58" s="1"/>
  <c r="U248" i="58" s="1"/>
  <c r="R109" i="47" s="1"/>
  <c r="U189" i="58"/>
  <c r="U176" i="58"/>
  <c r="U235" i="58" s="1"/>
  <c r="U250" i="58" s="1"/>
  <c r="R112" i="47" s="1"/>
  <c r="U193" i="58"/>
  <c r="V49" i="58"/>
  <c r="V182" i="58" s="1"/>
  <c r="V241" i="58" s="1"/>
  <c r="V256" i="58" s="1"/>
  <c r="S114" i="47" s="1"/>
  <c r="U180" i="58"/>
  <c r="U239" i="58" s="1"/>
  <c r="U254" i="58" s="1"/>
  <c r="R110" i="47" s="1"/>
  <c r="W45" i="58"/>
  <c r="W51" i="58" s="1"/>
  <c r="W46" i="58"/>
  <c r="W52" i="58" s="1"/>
  <c r="W43" i="58"/>
  <c r="X169" i="58"/>
  <c r="X168" i="58"/>
  <c r="X164" i="58"/>
  <c r="X165" i="58"/>
  <c r="X163" i="58"/>
  <c r="X166" i="58"/>
  <c r="X167" i="58"/>
  <c r="X162" i="58"/>
  <c r="X170" i="58"/>
  <c r="X36" i="58"/>
  <c r="X41" i="58" s="1"/>
  <c r="X45" i="58" s="1"/>
  <c r="U53" i="58"/>
  <c r="T224" i="58"/>
  <c r="T262" i="58" s="1"/>
  <c r="Q124" i="47" s="1"/>
  <c r="T220" i="58"/>
  <c r="T222" i="58"/>
  <c r="T260" i="58" s="1"/>
  <c r="Q121" i="47" s="1"/>
  <c r="T225" i="58"/>
  <c r="T263" i="58" s="1"/>
  <c r="Q126" i="47" s="1"/>
  <c r="AG96" i="58"/>
  <c r="AG97" i="58"/>
  <c r="AG100" i="58"/>
  <c r="U210" i="58"/>
  <c r="U222" i="58" s="1"/>
  <c r="U260" i="58" s="1"/>
  <c r="R121" i="47" s="1"/>
  <c r="U212" i="58"/>
  <c r="U224" i="58" s="1"/>
  <c r="U262" i="58" s="1"/>
  <c r="R124" i="47" s="1"/>
  <c r="U216" i="58"/>
  <c r="U213" i="58"/>
  <c r="U225" i="58" s="1"/>
  <c r="U263" i="58" s="1"/>
  <c r="R126" i="47" s="1"/>
  <c r="U209" i="58"/>
  <c r="U221" i="58" s="1"/>
  <c r="U259" i="58" s="1"/>
  <c r="R120" i="47" s="1"/>
  <c r="U208" i="58"/>
  <c r="U211" i="58"/>
  <c r="U223" i="58" s="1"/>
  <c r="U261" i="58" s="1"/>
  <c r="R122" i="47" s="1"/>
  <c r="U215" i="58"/>
  <c r="U214" i="58"/>
  <c r="W153" i="58"/>
  <c r="X94" i="58"/>
  <c r="X98" i="58"/>
  <c r="W157" i="58"/>
  <c r="AK75" i="58"/>
  <c r="V210" i="58"/>
  <c r="V212" i="58"/>
  <c r="V216" i="58"/>
  <c r="V215" i="58"/>
  <c r="V211" i="58"/>
  <c r="V214" i="58"/>
  <c r="V209" i="58"/>
  <c r="V208" i="58"/>
  <c r="AK72" i="58"/>
  <c r="AK71" i="58"/>
  <c r="AA74" i="58"/>
  <c r="Y24" i="58"/>
  <c r="AA78" i="58"/>
  <c r="AH94" i="58"/>
  <c r="AH93" i="58"/>
  <c r="X159" i="58"/>
  <c r="Y100" i="58"/>
  <c r="AH92" i="58"/>
  <c r="X154" i="58"/>
  <c r="Y95" i="58"/>
  <c r="AI78" i="58"/>
  <c r="AJ78" i="58" s="1"/>
  <c r="AA71" i="58"/>
  <c r="V193" i="58"/>
  <c r="V192" i="58"/>
  <c r="V187" i="58"/>
  <c r="V189" i="58"/>
  <c r="V188" i="58"/>
  <c r="V191" i="58"/>
  <c r="V186" i="58"/>
  <c r="V190" i="58"/>
  <c r="V194" i="58"/>
  <c r="AK73" i="58"/>
  <c r="X92" i="58"/>
  <c r="W151" i="58"/>
  <c r="Y31" i="58"/>
  <c r="Y34" i="58" s="1"/>
  <c r="Y35" i="58" s="1"/>
  <c r="W50" i="58"/>
  <c r="AA75" i="58"/>
  <c r="AI70" i="58"/>
  <c r="AJ70" i="58" s="1"/>
  <c r="W158" i="58"/>
  <c r="X99" i="58"/>
  <c r="AH95" i="58"/>
  <c r="AH98" i="58"/>
  <c r="V202" i="58"/>
  <c r="V201" i="58"/>
  <c r="V200" i="58"/>
  <c r="V205" i="58"/>
  <c r="V197" i="58"/>
  <c r="V199" i="58"/>
  <c r="V198" i="58"/>
  <c r="V203" i="58"/>
  <c r="V204" i="58"/>
  <c r="S245" i="58"/>
  <c r="S258" i="58"/>
  <c r="P118" i="47" s="1"/>
  <c r="W156" i="58"/>
  <c r="X97" i="58"/>
  <c r="U226" i="58"/>
  <c r="U264" i="58" s="1"/>
  <c r="R119" i="47" s="1"/>
  <c r="AA73" i="58"/>
  <c r="X96" i="58"/>
  <c r="W155" i="58"/>
  <c r="X93" i="58"/>
  <c r="W152" i="58"/>
  <c r="AA70" i="58"/>
  <c r="AK74" i="58"/>
  <c r="AH99" i="58"/>
  <c r="N84" i="47"/>
  <c r="O84" i="47"/>
  <c r="S35" i="44"/>
  <c r="Z10" i="58"/>
  <c r="Z23" i="58" s="1"/>
  <c r="AA6" i="35"/>
  <c r="R25" i="44"/>
  <c r="R26" i="44" s="1"/>
  <c r="O5" i="47"/>
  <c r="S22" i="35"/>
  <c r="S24" i="35"/>
  <c r="O9" i="47"/>
  <c r="S23" i="35"/>
  <c r="O8" i="47"/>
  <c r="P6" i="47"/>
  <c r="T25" i="35"/>
  <c r="S26" i="35"/>
  <c r="O7" i="47"/>
  <c r="U228" i="58" l="1"/>
  <c r="U266" i="58" s="1"/>
  <c r="R123" i="47" s="1"/>
  <c r="U220" i="58"/>
  <c r="W49" i="58"/>
  <c r="W53" i="58" s="1"/>
  <c r="V53" i="58"/>
  <c r="V174" i="58"/>
  <c r="V233" i="58" s="1"/>
  <c r="V248" i="58" s="1"/>
  <c r="S109" i="47" s="1"/>
  <c r="V180" i="58"/>
  <c r="V239" i="58" s="1"/>
  <c r="V254" i="58" s="1"/>
  <c r="S110" i="47" s="1"/>
  <c r="V176" i="58"/>
  <c r="V235" i="58" s="1"/>
  <c r="V250" i="58" s="1"/>
  <c r="S112" i="47" s="1"/>
  <c r="V177" i="58"/>
  <c r="V236" i="58" s="1"/>
  <c r="V251" i="58" s="1"/>
  <c r="S113" i="47" s="1"/>
  <c r="V178" i="58"/>
  <c r="V237" i="58" s="1"/>
  <c r="V252" i="58" s="1"/>
  <c r="S115" i="47" s="1"/>
  <c r="V175" i="58"/>
  <c r="V234" i="58" s="1"/>
  <c r="V249" i="58" s="1"/>
  <c r="S111" i="47" s="1"/>
  <c r="V181" i="58"/>
  <c r="V240" i="58" s="1"/>
  <c r="V255" i="58" s="1"/>
  <c r="S116" i="47" s="1"/>
  <c r="V179" i="58"/>
  <c r="V238" i="58" s="1"/>
  <c r="V253" i="58" s="1"/>
  <c r="S117" i="47" s="1"/>
  <c r="U227" i="58"/>
  <c r="U265" i="58" s="1"/>
  <c r="R125" i="47" s="1"/>
  <c r="W199" i="58"/>
  <c r="W197" i="58"/>
  <c r="W204" i="58"/>
  <c r="W203" i="58"/>
  <c r="W202" i="58"/>
  <c r="W201" i="58"/>
  <c r="W198" i="58"/>
  <c r="W200" i="58"/>
  <c r="W205" i="58"/>
  <c r="X51" i="58"/>
  <c r="X198" i="58" s="1"/>
  <c r="T245" i="58"/>
  <c r="T258" i="58"/>
  <c r="Q118" i="47" s="1"/>
  <c r="X46" i="58"/>
  <c r="X52" i="58" s="1"/>
  <c r="X44" i="58"/>
  <c r="X50" i="58" s="1"/>
  <c r="X43" i="58"/>
  <c r="Y169" i="58"/>
  <c r="Y168" i="58"/>
  <c r="Y164" i="58"/>
  <c r="Y163" i="58"/>
  <c r="Y167" i="58"/>
  <c r="Y165" i="58"/>
  <c r="Y170" i="58"/>
  <c r="Y166" i="58"/>
  <c r="Y162" i="58"/>
  <c r="Y36" i="58"/>
  <c r="Y41" i="58" s="1"/>
  <c r="Y44" i="58" s="1"/>
  <c r="AH96" i="58"/>
  <c r="AH97" i="58"/>
  <c r="V228" i="58"/>
  <c r="V266" i="58" s="1"/>
  <c r="S123" i="47" s="1"/>
  <c r="V222" i="58"/>
  <c r="V260" i="58" s="1"/>
  <c r="S121" i="47" s="1"/>
  <c r="AH100" i="58"/>
  <c r="V223" i="58"/>
  <c r="V261" i="58" s="1"/>
  <c r="S122" i="47" s="1"/>
  <c r="AI92" i="58"/>
  <c r="V221" i="58"/>
  <c r="V259" i="58" s="1"/>
  <c r="S120" i="47" s="1"/>
  <c r="W181" i="58"/>
  <c r="W240" i="58" s="1"/>
  <c r="W255" i="58" s="1"/>
  <c r="T116" i="47" s="1"/>
  <c r="W177" i="58"/>
  <c r="W236" i="58" s="1"/>
  <c r="W251" i="58" s="1"/>
  <c r="T113" i="47" s="1"/>
  <c r="X158" i="58"/>
  <c r="Y99" i="58"/>
  <c r="Y159" i="58"/>
  <c r="Z100" i="58"/>
  <c r="Z24" i="58"/>
  <c r="X155" i="58"/>
  <c r="Y96" i="58"/>
  <c r="V226" i="58"/>
  <c r="V264" i="58" s="1"/>
  <c r="S119" i="47" s="1"/>
  <c r="AI99" i="58"/>
  <c r="X151" i="58"/>
  <c r="Y92" i="58"/>
  <c r="V227" i="58"/>
  <c r="V265" i="58" s="1"/>
  <c r="S125" i="47" s="1"/>
  <c r="AK70" i="58"/>
  <c r="U258" i="58"/>
  <c r="R118" i="47" s="1"/>
  <c r="AI93" i="58"/>
  <c r="AL74" i="58"/>
  <c r="AL73" i="58"/>
  <c r="X156" i="58"/>
  <c r="Y97" i="58"/>
  <c r="W212" i="58"/>
  <c r="W213" i="58"/>
  <c r="W209" i="58"/>
  <c r="W208" i="58"/>
  <c r="W210" i="58"/>
  <c r="W211" i="58"/>
  <c r="W215" i="58"/>
  <c r="W214" i="58"/>
  <c r="W216" i="58"/>
  <c r="AL75" i="58"/>
  <c r="AI98" i="58"/>
  <c r="AK78" i="58"/>
  <c r="AL71" i="58"/>
  <c r="Z31" i="58"/>
  <c r="Z34" i="58" s="1"/>
  <c r="Z35" i="58" s="1"/>
  <c r="W193" i="58"/>
  <c r="W189" i="58"/>
  <c r="W192" i="58"/>
  <c r="W190" i="58"/>
  <c r="W187" i="58"/>
  <c r="W186" i="58"/>
  <c r="W191" i="58"/>
  <c r="W194" i="58"/>
  <c r="W188" i="58"/>
  <c r="V224" i="58"/>
  <c r="V262" i="58" s="1"/>
  <c r="S124" i="47" s="1"/>
  <c r="V220" i="58"/>
  <c r="Y154" i="58"/>
  <c r="Z95" i="58"/>
  <c r="AI94" i="58"/>
  <c r="AL72" i="58"/>
  <c r="X157" i="58"/>
  <c r="Y98" i="58"/>
  <c r="X152" i="58"/>
  <c r="Y93" i="58"/>
  <c r="AI95" i="58"/>
  <c r="V225" i="58"/>
  <c r="V263" i="58" s="1"/>
  <c r="S126" i="47" s="1"/>
  <c r="X153" i="58"/>
  <c r="Y94" i="58"/>
  <c r="T35" i="44"/>
  <c r="AA10" i="58"/>
  <c r="AA23" i="58" s="1"/>
  <c r="S25" i="44"/>
  <c r="S26" i="44" s="1"/>
  <c r="P9" i="47"/>
  <c r="T24" i="35"/>
  <c r="T26" i="35"/>
  <c r="P7" i="47"/>
  <c r="T23" i="35"/>
  <c r="P8" i="47"/>
  <c r="T22" i="35"/>
  <c r="P5" i="47"/>
  <c r="U25" i="35"/>
  <c r="Q6" i="47"/>
  <c r="U245" i="58" l="1"/>
  <c r="W182" i="58"/>
  <c r="W241" i="58" s="1"/>
  <c r="W256" i="58" s="1"/>
  <c r="T114" i="47" s="1"/>
  <c r="W176" i="58"/>
  <c r="W235" i="58" s="1"/>
  <c r="W250" i="58" s="1"/>
  <c r="T112" i="47" s="1"/>
  <c r="W178" i="58"/>
  <c r="W237" i="58" s="1"/>
  <c r="W252" i="58" s="1"/>
  <c r="T115" i="47" s="1"/>
  <c r="W175" i="58"/>
  <c r="W234" i="58" s="1"/>
  <c r="W249" i="58" s="1"/>
  <c r="T111" i="47" s="1"/>
  <c r="W179" i="58"/>
  <c r="W238" i="58" s="1"/>
  <c r="W253" i="58" s="1"/>
  <c r="T117" i="47" s="1"/>
  <c r="W180" i="58"/>
  <c r="W239" i="58" s="1"/>
  <c r="W254" i="58" s="1"/>
  <c r="T110" i="47" s="1"/>
  <c r="X49" i="58"/>
  <c r="W174" i="58"/>
  <c r="W233" i="58" s="1"/>
  <c r="W248" i="58" s="1"/>
  <c r="T109" i="47" s="1"/>
  <c r="Y43" i="58"/>
  <c r="Y49" i="58" s="1"/>
  <c r="Y175" i="58" s="1"/>
  <c r="Y45" i="58"/>
  <c r="Y51" i="58" s="1"/>
  <c r="X204" i="58"/>
  <c r="Y46" i="58"/>
  <c r="X201" i="58"/>
  <c r="X202" i="58"/>
  <c r="X197" i="58"/>
  <c r="X205" i="58"/>
  <c r="X203" i="58"/>
  <c r="X200" i="58"/>
  <c r="X199" i="58"/>
  <c r="X188" i="58"/>
  <c r="X191" i="58"/>
  <c r="X186" i="58"/>
  <c r="Y50" i="58"/>
  <c r="Y190" i="58" s="1"/>
  <c r="X214" i="58"/>
  <c r="X211" i="58"/>
  <c r="X216" i="58"/>
  <c r="X209" i="58"/>
  <c r="X210" i="58"/>
  <c r="X208" i="58"/>
  <c r="X215" i="58"/>
  <c r="X212" i="58"/>
  <c r="X213" i="58"/>
  <c r="Y52" i="58"/>
  <c r="Y216" i="58" s="1"/>
  <c r="X53" i="58"/>
  <c r="Z168" i="58"/>
  <c r="Z169" i="58"/>
  <c r="Z164" i="58"/>
  <c r="Z162" i="58"/>
  <c r="Z166" i="58"/>
  <c r="Z167" i="58"/>
  <c r="Z170" i="58"/>
  <c r="Z165" i="58"/>
  <c r="Z163" i="58"/>
  <c r="Z36" i="58"/>
  <c r="Z41" i="58" s="1"/>
  <c r="Z44" i="58" s="1"/>
  <c r="X193" i="58"/>
  <c r="X194" i="58"/>
  <c r="X187" i="58"/>
  <c r="X190" i="58"/>
  <c r="X192" i="58"/>
  <c r="X189" i="58"/>
  <c r="W227" i="58"/>
  <c r="W265" i="58" s="1"/>
  <c r="T125" i="47" s="1"/>
  <c r="AI96" i="58"/>
  <c r="AJ96" i="58" s="1"/>
  <c r="AK96" i="58" s="1"/>
  <c r="W222" i="58"/>
  <c r="W260" i="58" s="1"/>
  <c r="T121" i="47" s="1"/>
  <c r="W221" i="58"/>
  <c r="W259" i="58" s="1"/>
  <c r="T120" i="47" s="1"/>
  <c r="W228" i="58"/>
  <c r="W266" i="58" s="1"/>
  <c r="T123" i="47" s="1"/>
  <c r="W224" i="58"/>
  <c r="W262" i="58" s="1"/>
  <c r="T124" i="47" s="1"/>
  <c r="AI97" i="58"/>
  <c r="AJ97" i="58" s="1"/>
  <c r="AK97" i="58" s="1"/>
  <c r="W226" i="58"/>
  <c r="W264" i="58" s="1"/>
  <c r="T119" i="47" s="1"/>
  <c r="AI100" i="58"/>
  <c r="AJ100" i="58" s="1"/>
  <c r="AK100" i="58" s="1"/>
  <c r="W220" i="58"/>
  <c r="Y158" i="58"/>
  <c r="Z99" i="58"/>
  <c r="AJ98" i="58"/>
  <c r="Y156" i="58"/>
  <c r="Z97" i="58"/>
  <c r="AJ94" i="58"/>
  <c r="W223" i="58"/>
  <c r="W261" i="58" s="1"/>
  <c r="T122" i="47" s="1"/>
  <c r="AM75" i="58"/>
  <c r="AN75" i="58" s="1"/>
  <c r="AO75" i="58" s="1"/>
  <c r="AP75" i="58" s="1"/>
  <c r="AQ75" i="58" s="1"/>
  <c r="AR75" i="58" s="1"/>
  <c r="AS75" i="58" s="1"/>
  <c r="AT75" i="58" s="1"/>
  <c r="AU75" i="58" s="1"/>
  <c r="Y178" i="58"/>
  <c r="Y174" i="58"/>
  <c r="Z154" i="58"/>
  <c r="AA95" i="58"/>
  <c r="AM73" i="58"/>
  <c r="AN73" i="58" s="1"/>
  <c r="AO73" i="58" s="1"/>
  <c r="AP73" i="58" s="1"/>
  <c r="AQ73" i="58" s="1"/>
  <c r="AR73" i="58" s="1"/>
  <c r="AS73" i="58" s="1"/>
  <c r="AT73" i="58" s="1"/>
  <c r="AU73" i="58" s="1"/>
  <c r="AA31" i="58"/>
  <c r="AA34" i="58" s="1"/>
  <c r="AA35" i="58" s="1"/>
  <c r="AA36" i="58" s="1"/>
  <c r="Y151" i="58"/>
  <c r="Z92" i="58"/>
  <c r="AJ99" i="58"/>
  <c r="V245" i="58"/>
  <c r="V258" i="58"/>
  <c r="S118" i="47" s="1"/>
  <c r="AM74" i="58"/>
  <c r="AN74" i="58" s="1"/>
  <c r="AO74" i="58" s="1"/>
  <c r="AP74" i="58" s="1"/>
  <c r="AQ74" i="58" s="1"/>
  <c r="AR74" i="58" s="1"/>
  <c r="AS74" i="58" s="1"/>
  <c r="AT74" i="58" s="1"/>
  <c r="AU74" i="58" s="1"/>
  <c r="Y155" i="58"/>
  <c r="Z96" i="58"/>
  <c r="AJ95" i="58"/>
  <c r="AM71" i="58"/>
  <c r="AN71" i="58" s="1"/>
  <c r="AO71" i="58" s="1"/>
  <c r="AP71" i="58" s="1"/>
  <c r="AQ71" i="58" s="1"/>
  <c r="AR71" i="58" s="1"/>
  <c r="AS71" i="58" s="1"/>
  <c r="AT71" i="58" s="1"/>
  <c r="AU71" i="58" s="1"/>
  <c r="X179" i="58"/>
  <c r="X238" i="58" s="1"/>
  <c r="X253" i="58" s="1"/>
  <c r="U117" i="47" s="1"/>
  <c r="X175" i="58"/>
  <c r="X234" i="58" s="1"/>
  <c r="X249" i="58" s="1"/>
  <c r="U111" i="47" s="1"/>
  <c r="X176" i="58"/>
  <c r="X235" i="58" s="1"/>
  <c r="X250" i="58" s="1"/>
  <c r="U112" i="47" s="1"/>
  <c r="X180" i="58"/>
  <c r="X239" i="58" s="1"/>
  <c r="X254" i="58" s="1"/>
  <c r="U110" i="47" s="1"/>
  <c r="X182" i="58"/>
  <c r="X241" i="58" s="1"/>
  <c r="X256" i="58" s="1"/>
  <c r="U114" i="47" s="1"/>
  <c r="X177" i="58"/>
  <c r="X236" i="58" s="1"/>
  <c r="X251" i="58" s="1"/>
  <c r="U113" i="47" s="1"/>
  <c r="X174" i="58"/>
  <c r="X233" i="58" s="1"/>
  <c r="X248" i="58" s="1"/>
  <c r="U109" i="47" s="1"/>
  <c r="X181" i="58"/>
  <c r="X240" i="58" s="1"/>
  <c r="X255" i="58" s="1"/>
  <c r="U116" i="47" s="1"/>
  <c r="X178" i="58"/>
  <c r="X237" i="58" s="1"/>
  <c r="X252" i="58" s="1"/>
  <c r="U115" i="47" s="1"/>
  <c r="AA24" i="58"/>
  <c r="AJ93" i="58"/>
  <c r="Z159" i="58"/>
  <c r="AA100" i="58"/>
  <c r="Y157" i="58"/>
  <c r="Z98" i="58"/>
  <c r="W225" i="58"/>
  <c r="W263" i="58" s="1"/>
  <c r="T126" i="47" s="1"/>
  <c r="Y152" i="58"/>
  <c r="Z93" i="58"/>
  <c r="Y153" i="58"/>
  <c r="Z94" i="58"/>
  <c r="AL78" i="58"/>
  <c r="AM72" i="58"/>
  <c r="AN72" i="58" s="1"/>
  <c r="AO72" i="58" s="1"/>
  <c r="AP72" i="58" s="1"/>
  <c r="AQ72" i="58" s="1"/>
  <c r="AR72" i="58" s="1"/>
  <c r="AS72" i="58" s="1"/>
  <c r="AT72" i="58" s="1"/>
  <c r="AU72" i="58" s="1"/>
  <c r="AL70" i="58"/>
  <c r="AJ92" i="58"/>
  <c r="U35" i="44"/>
  <c r="AB10" i="58"/>
  <c r="AB23" i="58" s="1"/>
  <c r="T25" i="44"/>
  <c r="T26" i="44" s="1"/>
  <c r="AB6" i="35"/>
  <c r="U23" i="35"/>
  <c r="Q8" i="47"/>
  <c r="Q9" i="47"/>
  <c r="U24" i="35"/>
  <c r="V25" i="35"/>
  <c r="R6" i="47"/>
  <c r="U22" i="35"/>
  <c r="Q5" i="47"/>
  <c r="U26" i="35"/>
  <c r="Q7" i="47"/>
  <c r="Y180" i="58" l="1"/>
  <c r="Y181" i="58"/>
  <c r="Y177" i="58"/>
  <c r="Y236" i="58" s="1"/>
  <c r="Y251" i="58" s="1"/>
  <c r="V113" i="47" s="1"/>
  <c r="Y182" i="58"/>
  <c r="Y241" i="58" s="1"/>
  <c r="Y256" i="58" s="1"/>
  <c r="V114" i="47" s="1"/>
  <c r="Y176" i="58"/>
  <c r="Y179" i="58"/>
  <c r="Y191" i="58"/>
  <c r="Y194" i="58"/>
  <c r="Z50" i="58"/>
  <c r="Z193" i="58" s="1"/>
  <c r="Y188" i="58"/>
  <c r="Y193" i="58"/>
  <c r="Y205" i="58"/>
  <c r="Y202" i="58"/>
  <c r="Y199" i="58"/>
  <c r="Y200" i="58"/>
  <c r="Y201" i="58"/>
  <c r="Y203" i="58"/>
  <c r="Y204" i="58"/>
  <c r="Y197" i="58"/>
  <c r="Y198" i="58"/>
  <c r="X221" i="58"/>
  <c r="X259" i="58" s="1"/>
  <c r="U120" i="47" s="1"/>
  <c r="Z43" i="58"/>
  <c r="Z49" i="58" s="1"/>
  <c r="Z179" i="58" s="1"/>
  <c r="Y186" i="58"/>
  <c r="Y187" i="58"/>
  <c r="Y189" i="58"/>
  <c r="X220" i="58"/>
  <c r="Y192" i="58"/>
  <c r="X225" i="58"/>
  <c r="X263" i="58" s="1"/>
  <c r="U126" i="47" s="1"/>
  <c r="X226" i="58"/>
  <c r="X264" i="58" s="1"/>
  <c r="U119" i="47" s="1"/>
  <c r="X222" i="58"/>
  <c r="X260" i="58" s="1"/>
  <c r="U121" i="47" s="1"/>
  <c r="X223" i="58"/>
  <c r="X261" i="58" s="1"/>
  <c r="U122" i="47" s="1"/>
  <c r="X227" i="58"/>
  <c r="X265" i="58" s="1"/>
  <c r="U125" i="47" s="1"/>
  <c r="X224" i="58"/>
  <c r="X262" i="58" s="1"/>
  <c r="U124" i="47" s="1"/>
  <c r="X228" i="58"/>
  <c r="X266" i="58" s="1"/>
  <c r="U123" i="47" s="1"/>
  <c r="Z45" i="58"/>
  <c r="Z51" i="58" s="1"/>
  <c r="Z198" i="58" s="1"/>
  <c r="Y210" i="58"/>
  <c r="Y212" i="58"/>
  <c r="Y211" i="58"/>
  <c r="Y209" i="58"/>
  <c r="Y215" i="58"/>
  <c r="Y214" i="58"/>
  <c r="Y213" i="58"/>
  <c r="Y225" i="58" s="1"/>
  <c r="Y263" i="58" s="1"/>
  <c r="V126" i="47" s="1"/>
  <c r="Y208" i="58"/>
  <c r="Y53" i="58"/>
  <c r="Z46" i="58"/>
  <c r="Z52" i="58" s="1"/>
  <c r="Z212" i="58" s="1"/>
  <c r="W245" i="58"/>
  <c r="AA41" i="58"/>
  <c r="AA45" i="58" s="1"/>
  <c r="Y238" i="58"/>
  <c r="Y253" i="58" s="1"/>
  <c r="V117" i="47" s="1"/>
  <c r="Y240" i="58"/>
  <c r="Y255" i="58" s="1"/>
  <c r="V116" i="47" s="1"/>
  <c r="AB24" i="58"/>
  <c r="W258" i="58"/>
  <c r="T118" i="47" s="1"/>
  <c r="AA154" i="58"/>
  <c r="AA159" i="58"/>
  <c r="Y237" i="58"/>
  <c r="Y252" i="58" s="1"/>
  <c r="V115" i="47" s="1"/>
  <c r="Z152" i="58"/>
  <c r="AA93" i="58"/>
  <c r="AA152" i="58" s="1"/>
  <c r="Y233" i="58"/>
  <c r="Y248" i="58" s="1"/>
  <c r="V109" i="47" s="1"/>
  <c r="AK92" i="58"/>
  <c r="AK93" i="58"/>
  <c r="AM78" i="58"/>
  <c r="AN78" i="58" s="1"/>
  <c r="AO78" i="58" s="1"/>
  <c r="AP78" i="58" s="1"/>
  <c r="AQ78" i="58" s="1"/>
  <c r="AR78" i="58" s="1"/>
  <c r="AS78" i="58" s="1"/>
  <c r="AT78" i="58" s="1"/>
  <c r="AU78" i="58" s="1"/>
  <c r="Z153" i="58"/>
  <c r="AA94" i="58"/>
  <c r="AA153" i="58" s="1"/>
  <c r="Z194" i="58"/>
  <c r="Z189" i="58"/>
  <c r="Z188" i="58"/>
  <c r="Z186" i="58"/>
  <c r="Z187" i="58"/>
  <c r="AK94" i="58"/>
  <c r="AL96" i="58"/>
  <c r="AM70" i="58"/>
  <c r="AN70" i="58" s="1"/>
  <c r="AO70" i="58" s="1"/>
  <c r="AP70" i="58" s="1"/>
  <c r="AQ70" i="58" s="1"/>
  <c r="AR70" i="58" s="1"/>
  <c r="AS70" i="58" s="1"/>
  <c r="AT70" i="58" s="1"/>
  <c r="AU70" i="58" s="1"/>
  <c r="AL100" i="58"/>
  <c r="AB31" i="58"/>
  <c r="AB34" i="58" s="1"/>
  <c r="Z156" i="58"/>
  <c r="AA97" i="58"/>
  <c r="AA156" i="58" s="1"/>
  <c r="AK95" i="58"/>
  <c r="AK99" i="58"/>
  <c r="Y235" i="58"/>
  <c r="Y250" i="58" s="1"/>
  <c r="V112" i="47" s="1"/>
  <c r="AK98" i="58"/>
  <c r="Z158" i="58"/>
  <c r="AA99" i="58"/>
  <c r="AA158" i="58" s="1"/>
  <c r="AL97" i="58"/>
  <c r="Z155" i="58"/>
  <c r="AA96" i="58"/>
  <c r="AA155" i="58" s="1"/>
  <c r="Z151" i="58"/>
  <c r="AA92" i="58"/>
  <c r="AA151" i="58" s="1"/>
  <c r="AA167" i="58"/>
  <c r="AA165" i="58"/>
  <c r="AA162" i="58"/>
  <c r="AA166" i="58"/>
  <c r="AA163" i="58"/>
  <c r="AA164" i="58"/>
  <c r="AA168" i="58"/>
  <c r="AA169" i="58"/>
  <c r="AA170" i="58"/>
  <c r="Y234" i="58"/>
  <c r="Y249" i="58" s="1"/>
  <c r="V111" i="47" s="1"/>
  <c r="Y228" i="58"/>
  <c r="Y266" i="58" s="1"/>
  <c r="V123" i="47" s="1"/>
  <c r="Z157" i="58"/>
  <c r="AA98" i="58"/>
  <c r="AA157" i="58" s="1"/>
  <c r="X258" i="58"/>
  <c r="U118" i="47" s="1"/>
  <c r="Y239" i="58"/>
  <c r="Y254" i="58" s="1"/>
  <c r="V110" i="47" s="1"/>
  <c r="V35" i="44"/>
  <c r="AC10" i="58"/>
  <c r="AC23" i="58" s="1"/>
  <c r="U25" i="44"/>
  <c r="U26" i="44" s="1"/>
  <c r="P3" i="29"/>
  <c r="AC6" i="35"/>
  <c r="AD6" i="35"/>
  <c r="V26" i="35"/>
  <c r="R7" i="47"/>
  <c r="V24" i="35"/>
  <c r="R9" i="47"/>
  <c r="R5" i="47"/>
  <c r="V22" i="35"/>
  <c r="R8" i="47"/>
  <c r="V23" i="35"/>
  <c r="W25" i="35"/>
  <c r="S6" i="47"/>
  <c r="AA51" i="58" l="1"/>
  <c r="Y226" i="58"/>
  <c r="Y264" i="58" s="1"/>
  <c r="V119" i="47" s="1"/>
  <c r="Y222" i="58"/>
  <c r="Y260" i="58" s="1"/>
  <c r="V121" i="47" s="1"/>
  <c r="Z190" i="58"/>
  <c r="Z191" i="58"/>
  <c r="Z192" i="58"/>
  <c r="Y227" i="58"/>
  <c r="Y265" i="58" s="1"/>
  <c r="V125" i="47" s="1"/>
  <c r="Y221" i="58"/>
  <c r="Y259" i="58" s="1"/>
  <c r="V120" i="47" s="1"/>
  <c r="Y224" i="58"/>
  <c r="Y262" i="58" s="1"/>
  <c r="V124" i="47" s="1"/>
  <c r="Z178" i="58"/>
  <c r="Z205" i="58"/>
  <c r="Z174" i="58"/>
  <c r="Z197" i="58"/>
  <c r="Y220" i="58"/>
  <c r="Y258" i="58" s="1"/>
  <c r="V118" i="47" s="1"/>
  <c r="AA43" i="58"/>
  <c r="AA49" i="58" s="1"/>
  <c r="AA176" i="58" s="1"/>
  <c r="AA235" i="58" s="1"/>
  <c r="AA250" i="58" s="1"/>
  <c r="X112" i="47" s="1"/>
  <c r="Z181" i="58"/>
  <c r="Z199" i="58"/>
  <c r="Z182" i="58"/>
  <c r="Z241" i="58" s="1"/>
  <c r="Z256" i="58" s="1"/>
  <c r="W114" i="47" s="1"/>
  <c r="Z201" i="58"/>
  <c r="Z224" i="58" s="1"/>
  <c r="Z262" i="58" s="1"/>
  <c r="W124" i="47" s="1"/>
  <c r="Z176" i="58"/>
  <c r="Z235" i="58" s="1"/>
  <c r="Z250" i="58" s="1"/>
  <c r="W112" i="47" s="1"/>
  <c r="Z177" i="58"/>
  <c r="Z236" i="58" s="1"/>
  <c r="Z251" i="58" s="1"/>
  <c r="W113" i="47" s="1"/>
  <c r="Z202" i="58"/>
  <c r="Z203" i="58"/>
  <c r="Z175" i="58"/>
  <c r="Z234" i="58" s="1"/>
  <c r="Z249" i="58" s="1"/>
  <c r="W111" i="47" s="1"/>
  <c r="Z200" i="58"/>
  <c r="Z180" i="58"/>
  <c r="Z239" i="58" s="1"/>
  <c r="Z254" i="58" s="1"/>
  <c r="W110" i="47" s="1"/>
  <c r="Z204" i="58"/>
  <c r="Y223" i="58"/>
  <c r="Y261" i="58" s="1"/>
  <c r="V122" i="47" s="1"/>
  <c r="X245" i="58"/>
  <c r="AC24" i="58"/>
  <c r="Z213" i="58"/>
  <c r="Z225" i="58" s="1"/>
  <c r="Z263" i="58" s="1"/>
  <c r="W126" i="47" s="1"/>
  <c r="Z211" i="58"/>
  <c r="Z210" i="58"/>
  <c r="Z222" i="58" s="1"/>
  <c r="Z260" i="58" s="1"/>
  <c r="W121" i="47" s="1"/>
  <c r="Z53" i="58"/>
  <c r="Z209" i="58"/>
  <c r="Z221" i="58" s="1"/>
  <c r="Z259" i="58" s="1"/>
  <c r="W120" i="47" s="1"/>
  <c r="Z215" i="58"/>
  <c r="Z214" i="58"/>
  <c r="Z216" i="58"/>
  <c r="AA46" i="58"/>
  <c r="AA52" i="58" s="1"/>
  <c r="AA214" i="58" s="1"/>
  <c r="Z208" i="58"/>
  <c r="AA44" i="58"/>
  <c r="AA50" i="58" s="1"/>
  <c r="AA189" i="58" s="1"/>
  <c r="AB35" i="58"/>
  <c r="AB156" i="58"/>
  <c r="AB158" i="58"/>
  <c r="AB153" i="58"/>
  <c r="AB152" i="58"/>
  <c r="AB154" i="58"/>
  <c r="AB159" i="58"/>
  <c r="AB151" i="58"/>
  <c r="AB155" i="58"/>
  <c r="AB157" i="58"/>
  <c r="Z238" i="58"/>
  <c r="Z253" i="58" s="1"/>
  <c r="W117" i="47" s="1"/>
  <c r="AG60" i="58"/>
  <c r="AB60" i="58"/>
  <c r="AM100" i="58"/>
  <c r="AM97" i="58"/>
  <c r="AM96" i="58"/>
  <c r="AC31" i="58"/>
  <c r="AC34" i="58" s="1"/>
  <c r="AL99" i="58"/>
  <c r="Z237" i="58"/>
  <c r="Z252" i="58" s="1"/>
  <c r="W115" i="47" s="1"/>
  <c r="AL94" i="58"/>
  <c r="AL98" i="58"/>
  <c r="AL95" i="58"/>
  <c r="Z233" i="58"/>
  <c r="Z248" i="58" s="1"/>
  <c r="W109" i="47" s="1"/>
  <c r="AL93" i="58"/>
  <c r="AL92" i="58"/>
  <c r="AA205" i="58"/>
  <c r="AA199" i="58"/>
  <c r="AA198" i="58"/>
  <c r="AA200" i="58"/>
  <c r="AA203" i="58"/>
  <c r="AA197" i="58"/>
  <c r="AA204" i="58"/>
  <c r="AA201" i="58"/>
  <c r="AA202" i="58"/>
  <c r="AA175" i="58"/>
  <c r="AA234" i="58" s="1"/>
  <c r="AA249" i="58" s="1"/>
  <c r="X111" i="47" s="1"/>
  <c r="Z240" i="58"/>
  <c r="Z255" i="58" s="1"/>
  <c r="W116" i="47" s="1"/>
  <c r="V25" i="44"/>
  <c r="V26" i="44" s="1"/>
  <c r="W35" i="44"/>
  <c r="AD10" i="58"/>
  <c r="AD23" i="58" s="1"/>
  <c r="P5" i="29"/>
  <c r="P18" i="29" s="1"/>
  <c r="P28" i="29"/>
  <c r="P36" i="29" s="1"/>
  <c r="W26" i="35"/>
  <c r="S7" i="47"/>
  <c r="W24" i="35"/>
  <c r="S9" i="47"/>
  <c r="X25" i="35"/>
  <c r="T6" i="47"/>
  <c r="S5" i="47"/>
  <c r="W22" i="35"/>
  <c r="W23" i="35"/>
  <c r="S8" i="47"/>
  <c r="AA174" i="58" l="1"/>
  <c r="AA233" i="58" s="1"/>
  <c r="AA248" i="58" s="1"/>
  <c r="X109" i="47" s="1"/>
  <c r="AA177" i="58"/>
  <c r="AA236" i="58" s="1"/>
  <c r="AA251" i="58" s="1"/>
  <c r="X113" i="47" s="1"/>
  <c r="AA178" i="58"/>
  <c r="AA237" i="58" s="1"/>
  <c r="AA252" i="58" s="1"/>
  <c r="X115" i="47" s="1"/>
  <c r="AA179" i="58"/>
  <c r="AA238" i="58" s="1"/>
  <c r="AA253" i="58" s="1"/>
  <c r="X117" i="47" s="1"/>
  <c r="AA180" i="58"/>
  <c r="AA239" i="58" s="1"/>
  <c r="AA254" i="58" s="1"/>
  <c r="X110" i="47" s="1"/>
  <c r="AA182" i="58"/>
  <c r="AA241" i="58" s="1"/>
  <c r="AA256" i="58" s="1"/>
  <c r="X114" i="47" s="1"/>
  <c r="Y245" i="58"/>
  <c r="AA181" i="58"/>
  <c r="AA240" i="58" s="1"/>
  <c r="AA255" i="58" s="1"/>
  <c r="X116" i="47" s="1"/>
  <c r="Z220" i="58"/>
  <c r="Z258" i="58" s="1"/>
  <c r="W118" i="47" s="1"/>
  <c r="Z223" i="58"/>
  <c r="Z261" i="58" s="1"/>
  <c r="W122" i="47" s="1"/>
  <c r="Z228" i="58"/>
  <c r="Z266" i="58" s="1"/>
  <c r="W123" i="47" s="1"/>
  <c r="Z226" i="58"/>
  <c r="Z264" i="58" s="1"/>
  <c r="W119" i="47" s="1"/>
  <c r="Z227" i="58"/>
  <c r="Z265" i="58" s="1"/>
  <c r="W125" i="47" s="1"/>
  <c r="AA209" i="58"/>
  <c r="AA212" i="58"/>
  <c r="J21" i="57"/>
  <c r="S32" i="57" s="1"/>
  <c r="AA216" i="58"/>
  <c r="AA208" i="58"/>
  <c r="AA210" i="58"/>
  <c r="AA213" i="58"/>
  <c r="AA211" i="58"/>
  <c r="AA223" i="58" s="1"/>
  <c r="AA261" i="58" s="1"/>
  <c r="X122" i="47" s="1"/>
  <c r="AA215" i="58"/>
  <c r="AA192" i="58"/>
  <c r="AA226" i="58" s="1"/>
  <c r="AA264" i="58" s="1"/>
  <c r="X119" i="47" s="1"/>
  <c r="AA190" i="58"/>
  <c r="AA188" i="58"/>
  <c r="AA222" i="58" s="1"/>
  <c r="AA260" i="58" s="1"/>
  <c r="X121" i="47" s="1"/>
  <c r="AA193" i="58"/>
  <c r="AA53" i="58"/>
  <c r="AA191" i="58"/>
  <c r="AA194" i="58"/>
  <c r="AA187" i="58"/>
  <c r="AA186" i="58"/>
  <c r="AC35" i="58"/>
  <c r="AC159" i="58"/>
  <c r="AC155" i="58"/>
  <c r="AC153" i="58"/>
  <c r="AC156" i="58"/>
  <c r="AC151" i="58"/>
  <c r="AC152" i="58"/>
  <c r="AC158" i="58"/>
  <c r="AC157" i="58"/>
  <c r="AC154" i="58"/>
  <c r="AB169" i="58"/>
  <c r="AB168" i="58"/>
  <c r="AB163" i="58"/>
  <c r="AB162" i="58"/>
  <c r="AB165" i="58"/>
  <c r="AB170" i="58"/>
  <c r="AB167" i="58"/>
  <c r="AB164" i="58"/>
  <c r="AB166" i="58"/>
  <c r="AB36" i="58"/>
  <c r="AB41" i="58" s="1"/>
  <c r="AN96" i="58"/>
  <c r="AD31" i="58"/>
  <c r="AD34" i="58" s="1"/>
  <c r="AM98" i="58"/>
  <c r="AM92" i="58"/>
  <c r="AM94" i="58"/>
  <c r="AN97" i="58"/>
  <c r="AM93" i="58"/>
  <c r="AM99" i="58"/>
  <c r="AN100" i="58"/>
  <c r="AM95" i="58"/>
  <c r="AD24" i="58"/>
  <c r="X35" i="44"/>
  <c r="AE10" i="58"/>
  <c r="AE23" i="58" s="1"/>
  <c r="W25" i="44"/>
  <c r="W26" i="44" s="1"/>
  <c r="AE6" i="35"/>
  <c r="P24" i="29"/>
  <c r="P17" i="29"/>
  <c r="P23" i="29" s="1"/>
  <c r="P16" i="29"/>
  <c r="AB51" i="29"/>
  <c r="S51" i="29"/>
  <c r="P108" i="47" s="1"/>
  <c r="Y25" i="35"/>
  <c r="U6" i="47"/>
  <c r="X26" i="35"/>
  <c r="T7" i="47"/>
  <c r="X24" i="35"/>
  <c r="T9" i="47"/>
  <c r="T5" i="47"/>
  <c r="X22" i="35"/>
  <c r="X23" i="35"/>
  <c r="T8" i="47"/>
  <c r="AA228" i="58" l="1"/>
  <c r="AA266" i="58" s="1"/>
  <c r="X123" i="47" s="1"/>
  <c r="AA220" i="58"/>
  <c r="AA258" i="58" s="1"/>
  <c r="X118" i="47" s="1"/>
  <c r="Z245" i="58"/>
  <c r="AA224" i="58"/>
  <c r="AA262" i="58" s="1"/>
  <c r="X124" i="47" s="1"/>
  <c r="AB32" i="57"/>
  <c r="AB56" i="57" s="1"/>
  <c r="J32" i="57"/>
  <c r="T32" i="57"/>
  <c r="K32" i="57" s="1"/>
  <c r="S56" i="57"/>
  <c r="S109" i="57"/>
  <c r="S87" i="57"/>
  <c r="J87" i="57" s="1"/>
  <c r="J90" i="57" s="1"/>
  <c r="AA225" i="58"/>
  <c r="AA263" i="58" s="1"/>
  <c r="X126" i="47" s="1"/>
  <c r="AA221" i="58"/>
  <c r="AA259" i="58" s="1"/>
  <c r="X120" i="47" s="1"/>
  <c r="AA227" i="58"/>
  <c r="AA265" i="58" s="1"/>
  <c r="X125" i="47" s="1"/>
  <c r="AB43" i="58"/>
  <c r="AB49" i="58" s="1"/>
  <c r="AB46" i="58"/>
  <c r="AB52" i="58" s="1"/>
  <c r="AB44" i="58"/>
  <c r="AB50" i="58" s="1"/>
  <c r="AB45" i="58"/>
  <c r="AB51" i="58" s="1"/>
  <c r="AD35" i="58"/>
  <c r="AD152" i="58"/>
  <c r="AD158" i="58"/>
  <c r="AD154" i="58"/>
  <c r="AD155" i="58"/>
  <c r="AD159" i="58"/>
  <c r="AD157" i="58"/>
  <c r="AD151" i="58"/>
  <c r="AD153" i="58"/>
  <c r="AD156" i="58"/>
  <c r="AC168" i="58"/>
  <c r="AC169" i="58"/>
  <c r="AC165" i="58"/>
  <c r="AC166" i="58"/>
  <c r="AC170" i="58"/>
  <c r="AC164" i="58"/>
  <c r="AC162" i="58"/>
  <c r="AC163" i="58"/>
  <c r="AC167" i="58"/>
  <c r="AC36" i="58"/>
  <c r="AC41" i="58" s="1"/>
  <c r="AE24" i="58"/>
  <c r="AO97" i="58"/>
  <c r="AO100" i="58"/>
  <c r="AN94" i="58"/>
  <c r="AN99" i="58"/>
  <c r="AN92" i="58"/>
  <c r="AN98" i="58"/>
  <c r="AO96" i="58"/>
  <c r="AE31" i="58"/>
  <c r="AE34" i="58" s="1"/>
  <c r="AN95" i="58"/>
  <c r="AN93" i="58"/>
  <c r="S50" i="29"/>
  <c r="P86" i="47" s="1"/>
  <c r="AB50" i="29"/>
  <c r="Y86" i="47" s="1"/>
  <c r="S49" i="29"/>
  <c r="P85" i="47" s="1"/>
  <c r="AB49" i="29"/>
  <c r="Y85" i="47" s="1"/>
  <c r="X25" i="44"/>
  <c r="X26" i="44" s="1"/>
  <c r="AF6" i="35"/>
  <c r="Y35" i="44"/>
  <c r="AG6" i="35"/>
  <c r="AF10" i="58"/>
  <c r="AF23" i="58" s="1"/>
  <c r="P22" i="29"/>
  <c r="T51" i="29"/>
  <c r="Y26" i="35"/>
  <c r="U7" i="47"/>
  <c r="U5" i="47"/>
  <c r="Y22" i="35"/>
  <c r="Y23" i="35"/>
  <c r="U8" i="47"/>
  <c r="Z25" i="35"/>
  <c r="V6" i="47"/>
  <c r="Y24" i="35"/>
  <c r="U9" i="47"/>
  <c r="AB109" i="57" l="1"/>
  <c r="J109" i="57"/>
  <c r="J56" i="57"/>
  <c r="AB87" i="57"/>
  <c r="T87" i="57"/>
  <c r="AA245" i="58"/>
  <c r="AF24" i="58"/>
  <c r="AD168" i="58"/>
  <c r="AD169" i="58"/>
  <c r="AD163" i="58"/>
  <c r="AD166" i="58"/>
  <c r="AD167" i="58"/>
  <c r="AD164" i="58"/>
  <c r="AD162" i="58"/>
  <c r="AD165" i="58"/>
  <c r="AD170" i="58"/>
  <c r="AD36" i="58"/>
  <c r="AD41" i="58" s="1"/>
  <c r="AB202" i="58"/>
  <c r="AB197" i="58"/>
  <c r="AB198" i="58"/>
  <c r="AB199" i="58"/>
  <c r="AB205" i="58"/>
  <c r="AB203" i="58"/>
  <c r="AB200" i="58"/>
  <c r="AB204" i="58"/>
  <c r="AB201" i="58"/>
  <c r="AE35" i="58"/>
  <c r="AE153" i="58"/>
  <c r="AE151" i="58"/>
  <c r="AE152" i="58"/>
  <c r="AE154" i="58"/>
  <c r="AE156" i="58"/>
  <c r="AE158" i="58"/>
  <c r="AE157" i="58"/>
  <c r="AE155" i="58"/>
  <c r="AE159" i="58"/>
  <c r="AB189" i="58"/>
  <c r="AB188" i="58"/>
  <c r="AB193" i="58"/>
  <c r="AB186" i="58"/>
  <c r="AB194" i="58"/>
  <c r="AB191" i="58"/>
  <c r="AB187" i="58"/>
  <c r="AB190" i="58"/>
  <c r="AB192" i="58"/>
  <c r="AB215" i="58"/>
  <c r="AB214" i="58"/>
  <c r="AB211" i="58"/>
  <c r="AB216" i="58"/>
  <c r="AB208" i="58"/>
  <c r="AB209" i="58"/>
  <c r="AB213" i="58"/>
  <c r="AB212" i="58"/>
  <c r="AB210" i="58"/>
  <c r="AC46" i="58"/>
  <c r="AC52" i="58" s="1"/>
  <c r="AC44" i="58"/>
  <c r="AC50" i="58" s="1"/>
  <c r="AC45" i="58"/>
  <c r="AC51" i="58" s="1"/>
  <c r="AC43" i="58"/>
  <c r="AC49" i="58" s="1"/>
  <c r="AB175" i="58"/>
  <c r="AB234" i="58" s="1"/>
  <c r="AB249" i="58" s="1"/>
  <c r="Y111" i="47" s="1"/>
  <c r="AB180" i="58"/>
  <c r="AB239" i="58" s="1"/>
  <c r="AB254" i="58" s="1"/>
  <c r="Y110" i="47" s="1"/>
  <c r="AB174" i="58"/>
  <c r="AB233" i="58" s="1"/>
  <c r="AB248" i="58" s="1"/>
  <c r="Y109" i="47" s="1"/>
  <c r="AB53" i="58"/>
  <c r="AB177" i="58"/>
  <c r="AB236" i="58" s="1"/>
  <c r="AB251" i="58" s="1"/>
  <c r="Y113" i="47" s="1"/>
  <c r="AB182" i="58"/>
  <c r="AB241" i="58" s="1"/>
  <c r="AB256" i="58" s="1"/>
  <c r="Y114" i="47" s="1"/>
  <c r="AB176" i="58"/>
  <c r="AB235" i="58" s="1"/>
  <c r="AB250" i="58" s="1"/>
  <c r="Y112" i="47" s="1"/>
  <c r="AB179" i="58"/>
  <c r="AB238" i="58" s="1"/>
  <c r="AB253" i="58" s="1"/>
  <c r="Y117" i="47" s="1"/>
  <c r="AB181" i="58"/>
  <c r="AB240" i="58" s="1"/>
  <c r="AB255" i="58" s="1"/>
  <c r="Y116" i="47" s="1"/>
  <c r="AB178" i="58"/>
  <c r="AB237" i="58" s="1"/>
  <c r="AB252" i="58" s="1"/>
  <c r="Y115" i="47" s="1"/>
  <c r="AO93" i="58"/>
  <c r="AP100" i="58"/>
  <c r="AO98" i="58"/>
  <c r="AP97" i="58"/>
  <c r="AO95" i="58"/>
  <c r="AO92" i="58"/>
  <c r="AO99" i="58"/>
  <c r="AP96" i="58"/>
  <c r="AO94" i="58"/>
  <c r="AF31" i="58"/>
  <c r="AF34" i="58" s="1"/>
  <c r="T50" i="29"/>
  <c r="T49" i="29"/>
  <c r="Y25" i="44"/>
  <c r="Y26" i="44" s="1"/>
  <c r="Z35" i="44"/>
  <c r="AH6" i="35"/>
  <c r="AG10" i="58"/>
  <c r="AG23" i="58" s="1"/>
  <c r="AB48" i="29"/>
  <c r="P84" i="47"/>
  <c r="Q108" i="47"/>
  <c r="U51" i="29"/>
  <c r="Z23" i="35"/>
  <c r="V8" i="47"/>
  <c r="V5" i="47"/>
  <c r="Z22" i="35"/>
  <c r="V7" i="47"/>
  <c r="Z26" i="35"/>
  <c r="Z24" i="35"/>
  <c r="V9" i="47"/>
  <c r="W6" i="47"/>
  <c r="AA25" i="35"/>
  <c r="AG24" i="58" l="1"/>
  <c r="AB225" i="58"/>
  <c r="AB263" i="58" s="1"/>
  <c r="Y126" i="47" s="1"/>
  <c r="AB227" i="58"/>
  <c r="AB265" i="58" s="1"/>
  <c r="Y125" i="47" s="1"/>
  <c r="AB228" i="58"/>
  <c r="AB266" i="58" s="1"/>
  <c r="Y123" i="47" s="1"/>
  <c r="AB223" i="58"/>
  <c r="AB261" i="58" s="1"/>
  <c r="Y122" i="47" s="1"/>
  <c r="AB226" i="58"/>
  <c r="AB264" i="58" s="1"/>
  <c r="Y119" i="47" s="1"/>
  <c r="AC203" i="58"/>
  <c r="AC198" i="58"/>
  <c r="AC197" i="58"/>
  <c r="AC201" i="58"/>
  <c r="AC200" i="58"/>
  <c r="AC205" i="58"/>
  <c r="AC199" i="58"/>
  <c r="AC204" i="58"/>
  <c r="AC202" i="58"/>
  <c r="AC208" i="58"/>
  <c r="AC215" i="58"/>
  <c r="AC212" i="58"/>
  <c r="AC214" i="58"/>
  <c r="AC209" i="58"/>
  <c r="AC211" i="58"/>
  <c r="AC213" i="58"/>
  <c r="AC216" i="58"/>
  <c r="AC210" i="58"/>
  <c r="AB221" i="58"/>
  <c r="AB259" i="58" s="1"/>
  <c r="Y120" i="47" s="1"/>
  <c r="AD44" i="58"/>
  <c r="AD50" i="58" s="1"/>
  <c r="AD43" i="58"/>
  <c r="AD49" i="58" s="1"/>
  <c r="AD45" i="58"/>
  <c r="AD51" i="58" s="1"/>
  <c r="AD46" i="58"/>
  <c r="AD52" i="58" s="1"/>
  <c r="AB220" i="58"/>
  <c r="AE168" i="58"/>
  <c r="AE169" i="58"/>
  <c r="AE166" i="58"/>
  <c r="AE165" i="58"/>
  <c r="AE163" i="58"/>
  <c r="AE167" i="58"/>
  <c r="AE164" i="58"/>
  <c r="AE162" i="58"/>
  <c r="AE170" i="58"/>
  <c r="AE36" i="58"/>
  <c r="AE41" i="58" s="1"/>
  <c r="AB222" i="58"/>
  <c r="AB260" i="58" s="1"/>
  <c r="Y121" i="47" s="1"/>
  <c r="AC176" i="58"/>
  <c r="AC235" i="58" s="1"/>
  <c r="AC250" i="58" s="1"/>
  <c r="Z112" i="47" s="1"/>
  <c r="AC182" i="58"/>
  <c r="AC241" i="58" s="1"/>
  <c r="AC256" i="58" s="1"/>
  <c r="Z114" i="47" s="1"/>
  <c r="AC177" i="58"/>
  <c r="AC236" i="58" s="1"/>
  <c r="AC251" i="58" s="1"/>
  <c r="Z113" i="47" s="1"/>
  <c r="AC53" i="58"/>
  <c r="AC175" i="58"/>
  <c r="AC234" i="58" s="1"/>
  <c r="AC249" i="58" s="1"/>
  <c r="Z111" i="47" s="1"/>
  <c r="AC174" i="58"/>
  <c r="AC233" i="58" s="1"/>
  <c r="AC248" i="58" s="1"/>
  <c r="Z109" i="47" s="1"/>
  <c r="AC180" i="58"/>
  <c r="AC239" i="58" s="1"/>
  <c r="AC254" i="58" s="1"/>
  <c r="Z110" i="47" s="1"/>
  <c r="AC181" i="58"/>
  <c r="AC240" i="58" s="1"/>
  <c r="AC255" i="58" s="1"/>
  <c r="Z116" i="47" s="1"/>
  <c r="AC179" i="58"/>
  <c r="AC238" i="58" s="1"/>
  <c r="AC253" i="58" s="1"/>
  <c r="Z117" i="47" s="1"/>
  <c r="AC178" i="58"/>
  <c r="AC237" i="58" s="1"/>
  <c r="AC252" i="58" s="1"/>
  <c r="Z115" i="47" s="1"/>
  <c r="AF35" i="58"/>
  <c r="AF154" i="58"/>
  <c r="AF151" i="58"/>
  <c r="AF152" i="58"/>
  <c r="AF158" i="58"/>
  <c r="AF157" i="58"/>
  <c r="AF153" i="58"/>
  <c r="AF155" i="58"/>
  <c r="AF156" i="58"/>
  <c r="AF159" i="58"/>
  <c r="AC187" i="58"/>
  <c r="AC191" i="58"/>
  <c r="AC190" i="58"/>
  <c r="AC193" i="58"/>
  <c r="AC188" i="58"/>
  <c r="AC186" i="58"/>
  <c r="AC189" i="58"/>
  <c r="AC192" i="58"/>
  <c r="AC194" i="58"/>
  <c r="AB224" i="58"/>
  <c r="AB262" i="58" s="1"/>
  <c r="Y124" i="47" s="1"/>
  <c r="AP98" i="58"/>
  <c r="AQ100" i="58"/>
  <c r="AP94" i="58"/>
  <c r="AP92" i="58"/>
  <c r="AP93" i="58"/>
  <c r="AQ96" i="58"/>
  <c r="AG31" i="58"/>
  <c r="AG34" i="58" s="1"/>
  <c r="AP95" i="58"/>
  <c r="AP99" i="58"/>
  <c r="AQ97" i="58"/>
  <c r="Q86" i="47"/>
  <c r="U50" i="29"/>
  <c r="Q85" i="47"/>
  <c r="U49" i="29"/>
  <c r="AA35" i="44"/>
  <c r="AH10" i="58"/>
  <c r="AH23" i="58" s="1"/>
  <c r="AH24" i="58" s="1"/>
  <c r="Z25" i="44"/>
  <c r="Z26" i="44" s="1"/>
  <c r="R108" i="47"/>
  <c r="V51" i="29"/>
  <c r="T48" i="29"/>
  <c r="AA24" i="35"/>
  <c r="W9" i="47"/>
  <c r="AA22" i="35"/>
  <c r="W5" i="47"/>
  <c r="AA23" i="35"/>
  <c r="W8" i="47"/>
  <c r="AB25" i="35"/>
  <c r="X6" i="47"/>
  <c r="AA26" i="35"/>
  <c r="W7" i="47"/>
  <c r="AC226" i="58" l="1"/>
  <c r="AC264" i="58" s="1"/>
  <c r="Z119" i="47" s="1"/>
  <c r="AC224" i="58"/>
  <c r="AC262" i="58" s="1"/>
  <c r="Z124" i="47" s="1"/>
  <c r="AC225" i="58"/>
  <c r="AC263" i="58" s="1"/>
  <c r="Z126" i="47" s="1"/>
  <c r="AC221" i="58"/>
  <c r="AC259" i="58" s="1"/>
  <c r="Z120" i="47" s="1"/>
  <c r="AC222" i="58"/>
  <c r="AC260" i="58" s="1"/>
  <c r="Z121" i="47" s="1"/>
  <c r="AC228" i="58"/>
  <c r="AC266" i="58" s="1"/>
  <c r="Z123" i="47" s="1"/>
  <c r="AC223" i="58"/>
  <c r="AC261" i="58" s="1"/>
  <c r="Z122" i="47" s="1"/>
  <c r="AC227" i="58"/>
  <c r="AC265" i="58" s="1"/>
  <c r="Z125" i="47" s="1"/>
  <c r="AB245" i="58"/>
  <c r="AB258" i="58"/>
  <c r="Y118" i="47" s="1"/>
  <c r="AE46" i="58"/>
  <c r="AE52" i="58" s="1"/>
  <c r="AE44" i="58"/>
  <c r="AE50" i="58" s="1"/>
  <c r="AE45" i="58"/>
  <c r="AE51" i="58" s="1"/>
  <c r="AE43" i="58"/>
  <c r="AE49" i="58" s="1"/>
  <c r="AD179" i="58"/>
  <c r="AD238" i="58" s="1"/>
  <c r="AD253" i="58" s="1"/>
  <c r="AA117" i="47" s="1"/>
  <c r="AD175" i="58"/>
  <c r="AD234" i="58" s="1"/>
  <c r="AD249" i="58" s="1"/>
  <c r="AA111" i="47" s="1"/>
  <c r="AD180" i="58"/>
  <c r="AD239" i="58" s="1"/>
  <c r="AD254" i="58" s="1"/>
  <c r="AA110" i="47" s="1"/>
  <c r="AD174" i="58"/>
  <c r="AD233" i="58" s="1"/>
  <c r="AD248" i="58" s="1"/>
  <c r="AA109" i="47" s="1"/>
  <c r="AD181" i="58"/>
  <c r="AD240" i="58" s="1"/>
  <c r="AD255" i="58" s="1"/>
  <c r="AA116" i="47" s="1"/>
  <c r="AD182" i="58"/>
  <c r="AD241" i="58" s="1"/>
  <c r="AD256" i="58" s="1"/>
  <c r="AA114" i="47" s="1"/>
  <c r="AD176" i="58"/>
  <c r="AD235" i="58" s="1"/>
  <c r="AD250" i="58" s="1"/>
  <c r="AA112" i="47" s="1"/>
  <c r="AD53" i="58"/>
  <c r="AD177" i="58"/>
  <c r="AD236" i="58" s="1"/>
  <c r="AD251" i="58" s="1"/>
  <c r="AA113" i="47" s="1"/>
  <c r="AD178" i="58"/>
  <c r="AD237" i="58" s="1"/>
  <c r="AD252" i="58" s="1"/>
  <c r="AA115" i="47" s="1"/>
  <c r="AD187" i="58"/>
  <c r="AD189" i="58"/>
  <c r="AD190" i="58"/>
  <c r="AD191" i="58"/>
  <c r="AD192" i="58"/>
  <c r="AD194" i="58"/>
  <c r="AD193" i="58"/>
  <c r="AD188" i="58"/>
  <c r="AD186" i="58"/>
  <c r="AD197" i="58"/>
  <c r="AD205" i="58"/>
  <c r="AD198" i="58"/>
  <c r="AD199" i="58"/>
  <c r="AD201" i="58"/>
  <c r="AD200" i="58"/>
  <c r="AD204" i="58"/>
  <c r="AD203" i="58"/>
  <c r="AD202" i="58"/>
  <c r="AF169" i="58"/>
  <c r="AF168" i="58"/>
  <c r="AF167" i="58"/>
  <c r="AF166" i="58"/>
  <c r="AF163" i="58"/>
  <c r="AF164" i="58"/>
  <c r="AF165" i="58"/>
  <c r="AF170" i="58"/>
  <c r="AF162" i="58"/>
  <c r="AF36" i="58"/>
  <c r="AF41" i="58" s="1"/>
  <c r="AG35" i="58"/>
  <c r="AG157" i="58"/>
  <c r="AG151" i="58"/>
  <c r="AG152" i="58"/>
  <c r="AG158" i="58"/>
  <c r="AG154" i="58"/>
  <c r="AG153" i="58"/>
  <c r="AG156" i="58"/>
  <c r="AG155" i="58"/>
  <c r="AG159" i="58"/>
  <c r="AD214" i="58"/>
  <c r="AD213" i="58"/>
  <c r="AD208" i="58"/>
  <c r="AD212" i="58"/>
  <c r="AD215" i="58"/>
  <c r="AD216" i="58"/>
  <c r="AD210" i="58"/>
  <c r="AD209" i="58"/>
  <c r="AD211" i="58"/>
  <c r="AC220" i="58"/>
  <c r="AQ94" i="58"/>
  <c r="AR97" i="58"/>
  <c r="AR100" i="58"/>
  <c r="AR96" i="58"/>
  <c r="AQ99" i="58"/>
  <c r="AQ98" i="58"/>
  <c r="AQ93" i="58"/>
  <c r="AQ92" i="58"/>
  <c r="AQ95" i="58"/>
  <c r="AH31" i="58"/>
  <c r="AH34" i="58" s="1"/>
  <c r="R86" i="47"/>
  <c r="V50" i="29"/>
  <c r="R85" i="47"/>
  <c r="V49" i="29"/>
  <c r="AA25" i="44"/>
  <c r="AA26" i="44" s="1"/>
  <c r="AI6" i="35"/>
  <c r="AB35" i="44"/>
  <c r="AJ6" i="35"/>
  <c r="AI10" i="58"/>
  <c r="AI23" i="58" s="1"/>
  <c r="AI24" i="58" s="1"/>
  <c r="Q84" i="47"/>
  <c r="U48" i="29"/>
  <c r="S108" i="47"/>
  <c r="W51" i="29"/>
  <c r="AB23" i="35"/>
  <c r="X8" i="47"/>
  <c r="AB26" i="35"/>
  <c r="X7" i="47"/>
  <c r="AC25" i="35"/>
  <c r="Y6" i="47"/>
  <c r="AB22" i="35"/>
  <c r="X5" i="47"/>
  <c r="X9" i="47"/>
  <c r="AB24" i="35"/>
  <c r="AD226" i="58" l="1"/>
  <c r="AD264" i="58" s="1"/>
  <c r="AA119" i="47" s="1"/>
  <c r="AD222" i="58"/>
  <c r="AD260" i="58" s="1"/>
  <c r="AA121" i="47" s="1"/>
  <c r="AD227" i="58"/>
  <c r="AD265" i="58" s="1"/>
  <c r="AA125" i="47" s="1"/>
  <c r="AD228" i="58"/>
  <c r="AD266" i="58" s="1"/>
  <c r="AA123" i="47" s="1"/>
  <c r="AF45" i="58"/>
  <c r="AF51" i="58" s="1"/>
  <c r="AF46" i="58"/>
  <c r="AF52" i="58" s="1"/>
  <c r="AF43" i="58"/>
  <c r="AF49" i="58" s="1"/>
  <c r="AF44" i="58"/>
  <c r="AF50" i="58" s="1"/>
  <c r="AD225" i="58"/>
  <c r="AD263" i="58" s="1"/>
  <c r="AA126" i="47" s="1"/>
  <c r="AD224" i="58"/>
  <c r="AD262" i="58" s="1"/>
  <c r="AA124" i="47" s="1"/>
  <c r="AD223" i="58"/>
  <c r="AD261" i="58" s="1"/>
  <c r="AA122" i="47" s="1"/>
  <c r="AE176" i="58"/>
  <c r="AE235" i="58" s="1"/>
  <c r="AE250" i="58" s="1"/>
  <c r="AB112" i="47" s="1"/>
  <c r="AE178" i="58"/>
  <c r="AE237" i="58" s="1"/>
  <c r="AE252" i="58" s="1"/>
  <c r="AB115" i="47" s="1"/>
  <c r="AE174" i="58"/>
  <c r="AE233" i="58" s="1"/>
  <c r="AE248" i="58" s="1"/>
  <c r="AB109" i="47" s="1"/>
  <c r="AE177" i="58"/>
  <c r="AE236" i="58" s="1"/>
  <c r="AE251" i="58" s="1"/>
  <c r="AB113" i="47" s="1"/>
  <c r="AE179" i="58"/>
  <c r="AE238" i="58" s="1"/>
  <c r="AE253" i="58" s="1"/>
  <c r="AB117" i="47" s="1"/>
  <c r="AE180" i="58"/>
  <c r="AE239" i="58" s="1"/>
  <c r="AE254" i="58" s="1"/>
  <c r="AB110" i="47" s="1"/>
  <c r="AE53" i="58"/>
  <c r="AE181" i="58"/>
  <c r="AE240" i="58" s="1"/>
  <c r="AE255" i="58" s="1"/>
  <c r="AB116" i="47" s="1"/>
  <c r="AE182" i="58"/>
  <c r="AE241" i="58" s="1"/>
  <c r="AE256" i="58" s="1"/>
  <c r="AB114" i="47" s="1"/>
  <c r="AE175" i="58"/>
  <c r="AE234" i="58" s="1"/>
  <c r="AE249" i="58" s="1"/>
  <c r="AB111" i="47" s="1"/>
  <c r="AH35" i="58"/>
  <c r="AH151" i="58"/>
  <c r="AH152" i="58"/>
  <c r="AH154" i="58"/>
  <c r="AH153" i="58"/>
  <c r="AH158" i="58"/>
  <c r="AH157" i="58"/>
  <c r="AH156" i="58"/>
  <c r="AH159" i="58"/>
  <c r="AH155" i="58"/>
  <c r="AD221" i="58"/>
  <c r="AD259" i="58" s="1"/>
  <c r="AA120" i="47" s="1"/>
  <c r="AE205" i="58"/>
  <c r="AE201" i="58"/>
  <c r="AE202" i="58"/>
  <c r="AE197" i="58"/>
  <c r="AE203" i="58"/>
  <c r="AE199" i="58"/>
  <c r="AE200" i="58"/>
  <c r="AE198" i="58"/>
  <c r="AE204" i="58"/>
  <c r="AC245" i="58"/>
  <c r="AC258" i="58"/>
  <c r="Z118" i="47" s="1"/>
  <c r="AE189" i="58"/>
  <c r="AE186" i="58"/>
  <c r="AE192" i="58"/>
  <c r="AE191" i="58"/>
  <c r="AE187" i="58"/>
  <c r="AE188" i="58"/>
  <c r="AE193" i="58"/>
  <c r="AE190" i="58"/>
  <c r="AE194" i="58"/>
  <c r="AE210" i="58"/>
  <c r="AE209" i="58"/>
  <c r="AE213" i="58"/>
  <c r="AE215" i="58"/>
  <c r="AE208" i="58"/>
  <c r="AE214" i="58"/>
  <c r="AE216" i="58"/>
  <c r="AE211" i="58"/>
  <c r="AE212" i="58"/>
  <c r="AG169" i="58"/>
  <c r="AG168" i="58"/>
  <c r="AG164" i="58"/>
  <c r="AG163" i="58"/>
  <c r="AG166" i="58"/>
  <c r="AG167" i="58"/>
  <c r="AG165" i="58"/>
  <c r="AG170" i="58"/>
  <c r="AG162" i="58"/>
  <c r="AG36" i="58"/>
  <c r="AG41" i="58" s="1"/>
  <c r="AD220" i="58"/>
  <c r="AR99" i="58"/>
  <c r="AS100" i="58"/>
  <c r="AS97" i="58"/>
  <c r="AS96" i="58"/>
  <c r="AR94" i="58"/>
  <c r="AI31" i="58"/>
  <c r="AI34" i="58" s="1"/>
  <c r="AR95" i="58"/>
  <c r="AR92" i="58"/>
  <c r="AR93" i="58"/>
  <c r="AR98" i="58"/>
  <c r="S86" i="47"/>
  <c r="W50" i="29"/>
  <c r="S85" i="47"/>
  <c r="W49" i="29"/>
  <c r="AC35" i="44"/>
  <c r="AJ10" i="58"/>
  <c r="AJ23" i="58" s="1"/>
  <c r="AK6" i="35"/>
  <c r="AB25" i="44"/>
  <c r="AB26" i="44" s="1"/>
  <c r="R84" i="47"/>
  <c r="V48" i="29"/>
  <c r="T108" i="47"/>
  <c r="X51" i="29"/>
  <c r="Y9" i="47"/>
  <c r="AC24" i="35"/>
  <c r="AC26" i="35"/>
  <c r="Y7" i="47"/>
  <c r="AD25" i="35"/>
  <c r="Z6" i="47"/>
  <c r="Y5" i="47"/>
  <c r="AC22" i="35"/>
  <c r="AC23" i="35"/>
  <c r="Y8" i="47"/>
  <c r="AE221" i="58" l="1"/>
  <c r="AE259" i="58" s="1"/>
  <c r="AB120" i="47" s="1"/>
  <c r="AE227" i="58"/>
  <c r="AE265" i="58" s="1"/>
  <c r="AB125" i="47" s="1"/>
  <c r="AE224" i="58"/>
  <c r="AE262" i="58" s="1"/>
  <c r="AB124" i="47" s="1"/>
  <c r="AD258" i="58"/>
  <c r="AA118" i="47" s="1"/>
  <c r="AD245" i="58"/>
  <c r="AG46" i="58"/>
  <c r="AG52" i="58" s="1"/>
  <c r="AG45" i="58"/>
  <c r="AG51" i="58" s="1"/>
  <c r="AG43" i="58"/>
  <c r="AG49" i="58" s="1"/>
  <c r="AG44" i="58"/>
  <c r="AG50" i="58" s="1"/>
  <c r="AE225" i="58"/>
  <c r="AE263" i="58" s="1"/>
  <c r="AB126" i="47" s="1"/>
  <c r="AE226" i="58"/>
  <c r="AE264" i="58" s="1"/>
  <c r="AB119" i="47" s="1"/>
  <c r="AH169" i="58"/>
  <c r="AH168" i="58"/>
  <c r="AH164" i="58"/>
  <c r="AH166" i="58"/>
  <c r="AH163" i="58"/>
  <c r="AH167" i="58"/>
  <c r="AH165" i="58"/>
  <c r="AH162" i="58"/>
  <c r="AH170" i="58"/>
  <c r="AH36" i="58"/>
  <c r="AH41" i="58" s="1"/>
  <c r="AE220" i="58"/>
  <c r="AE223" i="58"/>
  <c r="AE261" i="58" s="1"/>
  <c r="AB122" i="47" s="1"/>
  <c r="AF187" i="58"/>
  <c r="AF190" i="58"/>
  <c r="AF193" i="58"/>
  <c r="AF192" i="58"/>
  <c r="AF188" i="58"/>
  <c r="AF194" i="58"/>
  <c r="AF191" i="58"/>
  <c r="AF189" i="58"/>
  <c r="AF186" i="58"/>
  <c r="AF175" i="58"/>
  <c r="AF234" i="58" s="1"/>
  <c r="AF249" i="58" s="1"/>
  <c r="AC111" i="47" s="1"/>
  <c r="AF181" i="58"/>
  <c r="AF240" i="58" s="1"/>
  <c r="AF255" i="58" s="1"/>
  <c r="AC116" i="47" s="1"/>
  <c r="AF174" i="58"/>
  <c r="AF233" i="58" s="1"/>
  <c r="AF248" i="58" s="1"/>
  <c r="AC109" i="47" s="1"/>
  <c r="AF177" i="58"/>
  <c r="AF236" i="58" s="1"/>
  <c r="AF251" i="58" s="1"/>
  <c r="AC113" i="47" s="1"/>
  <c r="AF176" i="58"/>
  <c r="AF235" i="58" s="1"/>
  <c r="AF250" i="58" s="1"/>
  <c r="AC112" i="47" s="1"/>
  <c r="AF182" i="58"/>
  <c r="AF241" i="58" s="1"/>
  <c r="AF256" i="58" s="1"/>
  <c r="AC114" i="47" s="1"/>
  <c r="AF53" i="58"/>
  <c r="AF178" i="58"/>
  <c r="AF237" i="58" s="1"/>
  <c r="AF252" i="58" s="1"/>
  <c r="AC115" i="47" s="1"/>
  <c r="AF180" i="58"/>
  <c r="AF239" i="58" s="1"/>
  <c r="AF254" i="58" s="1"/>
  <c r="AC110" i="47" s="1"/>
  <c r="AF179" i="58"/>
  <c r="AF238" i="58" s="1"/>
  <c r="AF253" i="58" s="1"/>
  <c r="AC117" i="47" s="1"/>
  <c r="AF216" i="58"/>
  <c r="AF214" i="58"/>
  <c r="AF213" i="58"/>
  <c r="AF211" i="58"/>
  <c r="AF208" i="58"/>
  <c r="AF215" i="58"/>
  <c r="AF210" i="58"/>
  <c r="AF212" i="58"/>
  <c r="AF209" i="58"/>
  <c r="AE222" i="58"/>
  <c r="AE260" i="58" s="1"/>
  <c r="AB121" i="47" s="1"/>
  <c r="AF203" i="58"/>
  <c r="AF198" i="58"/>
  <c r="AF202" i="58"/>
  <c r="AF197" i="58"/>
  <c r="AF204" i="58"/>
  <c r="AF205" i="58"/>
  <c r="AF199" i="58"/>
  <c r="AF201" i="58"/>
  <c r="AF200" i="58"/>
  <c r="AE228" i="58"/>
  <c r="AE266" i="58" s="1"/>
  <c r="AB123" i="47" s="1"/>
  <c r="AS95" i="58"/>
  <c r="AS98" i="58"/>
  <c r="AI35" i="58"/>
  <c r="AI156" i="58"/>
  <c r="AI159" i="58"/>
  <c r="AI155" i="58"/>
  <c r="AI151" i="58"/>
  <c r="AI157" i="58"/>
  <c r="AI158" i="58"/>
  <c r="AI154" i="58"/>
  <c r="AI153" i="58"/>
  <c r="AI152" i="58"/>
  <c r="AT100" i="58"/>
  <c r="AS94" i="58"/>
  <c r="AS99" i="58"/>
  <c r="AJ31" i="58"/>
  <c r="AJ34" i="58" s="1"/>
  <c r="AS93" i="58"/>
  <c r="AT96" i="58"/>
  <c r="AJ24" i="58"/>
  <c r="AT97" i="58"/>
  <c r="AS92" i="58"/>
  <c r="T86" i="47"/>
  <c r="X50" i="29"/>
  <c r="T85" i="47"/>
  <c r="X49" i="29"/>
  <c r="AC25" i="44"/>
  <c r="AC26" i="44" s="1"/>
  <c r="AD35" i="44"/>
  <c r="AK10" i="58"/>
  <c r="AK23" i="58" s="1"/>
  <c r="S84" i="47"/>
  <c r="W48" i="29"/>
  <c r="U108" i="47"/>
  <c r="Y51" i="29"/>
  <c r="AD26" i="35"/>
  <c r="Z7" i="47"/>
  <c r="AD23" i="35"/>
  <c r="Z8" i="47"/>
  <c r="AE25" i="35"/>
  <c r="AA6" i="47"/>
  <c r="Z5" i="47"/>
  <c r="AD22" i="35"/>
  <c r="AD24" i="35"/>
  <c r="Z9" i="47"/>
  <c r="AF224" i="58" l="1"/>
  <c r="AF262" i="58" s="1"/>
  <c r="AC124" i="47" s="1"/>
  <c r="AF227" i="58"/>
  <c r="AF265" i="58" s="1"/>
  <c r="AC125" i="47" s="1"/>
  <c r="AJ35" i="58"/>
  <c r="AJ159" i="58"/>
  <c r="AJ156" i="58"/>
  <c r="AJ154" i="58"/>
  <c r="AJ155" i="58"/>
  <c r="AJ151" i="58"/>
  <c r="AJ152" i="58"/>
  <c r="AJ157" i="58"/>
  <c r="AJ153" i="58"/>
  <c r="AJ158" i="58"/>
  <c r="AF221" i="58"/>
  <c r="AF259" i="58" s="1"/>
  <c r="AC120" i="47" s="1"/>
  <c r="AE245" i="58"/>
  <c r="AE258" i="58"/>
  <c r="AB118" i="47" s="1"/>
  <c r="AH43" i="58"/>
  <c r="AH49" i="58" s="1"/>
  <c r="AH44" i="58"/>
  <c r="AH50" i="58" s="1"/>
  <c r="AH46" i="58"/>
  <c r="AH52" i="58" s="1"/>
  <c r="AH45" i="58"/>
  <c r="AH51" i="58" s="1"/>
  <c r="AG188" i="58"/>
  <c r="AG192" i="58"/>
  <c r="AG189" i="58"/>
  <c r="AG191" i="58"/>
  <c r="AG190" i="58"/>
  <c r="AG187" i="58"/>
  <c r="AG186" i="58"/>
  <c r="AG193" i="58"/>
  <c r="AG194" i="58"/>
  <c r="AF220" i="58"/>
  <c r="AG177" i="58"/>
  <c r="AG236" i="58" s="1"/>
  <c r="AG251" i="58" s="1"/>
  <c r="AD113" i="47" s="1"/>
  <c r="AG180" i="58"/>
  <c r="AG239" i="58" s="1"/>
  <c r="AG254" i="58" s="1"/>
  <c r="AD110" i="47" s="1"/>
  <c r="AG53" i="58"/>
  <c r="AG175" i="58"/>
  <c r="AG234" i="58" s="1"/>
  <c r="AG249" i="58" s="1"/>
  <c r="AD111" i="47" s="1"/>
  <c r="AG174" i="58"/>
  <c r="AG233" i="58" s="1"/>
  <c r="AG248" i="58" s="1"/>
  <c r="AD109" i="47" s="1"/>
  <c r="AG179" i="58"/>
  <c r="AG238" i="58" s="1"/>
  <c r="AG253" i="58" s="1"/>
  <c r="AD117" i="47" s="1"/>
  <c r="AG181" i="58"/>
  <c r="AG240" i="58" s="1"/>
  <c r="AG255" i="58" s="1"/>
  <c r="AD116" i="47" s="1"/>
  <c r="AG178" i="58"/>
  <c r="AG237" i="58" s="1"/>
  <c r="AG252" i="58" s="1"/>
  <c r="AD115" i="47" s="1"/>
  <c r="AG176" i="58"/>
  <c r="AG235" i="58" s="1"/>
  <c r="AG250" i="58" s="1"/>
  <c r="AD112" i="47" s="1"/>
  <c r="AG182" i="58"/>
  <c r="AG241" i="58" s="1"/>
  <c r="AG256" i="58" s="1"/>
  <c r="AD114" i="47" s="1"/>
  <c r="AF223" i="58"/>
  <c r="AF261" i="58" s="1"/>
  <c r="AC122" i="47" s="1"/>
  <c r="AG204" i="58"/>
  <c r="AG205" i="58"/>
  <c r="AG199" i="58"/>
  <c r="AG198" i="58"/>
  <c r="AG202" i="58"/>
  <c r="AG203" i="58"/>
  <c r="AG197" i="58"/>
  <c r="AG201" i="58"/>
  <c r="AG200" i="58"/>
  <c r="AF225" i="58"/>
  <c r="AF263" i="58" s="1"/>
  <c r="AC126" i="47" s="1"/>
  <c r="AG209" i="58"/>
  <c r="AG208" i="58"/>
  <c r="AG213" i="58"/>
  <c r="AG214" i="58"/>
  <c r="AG211" i="58"/>
  <c r="AG212" i="58"/>
  <c r="AG215" i="58"/>
  <c r="AG210" i="58"/>
  <c r="AG216" i="58"/>
  <c r="AF228" i="58"/>
  <c r="AF266" i="58" s="1"/>
  <c r="AC123" i="47" s="1"/>
  <c r="AF222" i="58"/>
  <c r="AF260" i="58" s="1"/>
  <c r="AC121" i="47" s="1"/>
  <c r="AF226" i="58"/>
  <c r="AF264" i="58" s="1"/>
  <c r="AC119" i="47" s="1"/>
  <c r="AU96" i="58"/>
  <c r="AI165" i="58"/>
  <c r="AI167" i="58"/>
  <c r="AI169" i="58"/>
  <c r="AI164" i="58"/>
  <c r="AI162" i="58"/>
  <c r="AI168" i="58"/>
  <c r="AI170" i="58"/>
  <c r="AI166" i="58"/>
  <c r="AI163" i="58"/>
  <c r="AI36" i="58"/>
  <c r="AI41" i="58" s="1"/>
  <c r="AT93" i="58"/>
  <c r="AT98" i="58"/>
  <c r="AT95" i="58"/>
  <c r="AU100" i="58"/>
  <c r="AT92" i="58"/>
  <c r="AU97" i="58"/>
  <c r="AK31" i="58"/>
  <c r="AK34" i="58" s="1"/>
  <c r="AT99" i="58"/>
  <c r="AT94" i="58"/>
  <c r="AK24" i="58"/>
  <c r="U86" i="47"/>
  <c r="Y50" i="29"/>
  <c r="U85" i="47"/>
  <c r="Y49" i="29"/>
  <c r="AD25" i="44"/>
  <c r="AD26" i="44" s="1"/>
  <c r="AL6" i="35"/>
  <c r="AL10" i="58"/>
  <c r="Q9" i="55"/>
  <c r="L11" i="57"/>
  <c r="AN9" i="55"/>
  <c r="AK9" i="55"/>
  <c r="X9" i="55"/>
  <c r="AM9" i="55"/>
  <c r="AJ9" i="55"/>
  <c r="Y9" i="55"/>
  <c r="AE9" i="55"/>
  <c r="S9" i="55"/>
  <c r="Z9" i="55"/>
  <c r="AI9" i="55"/>
  <c r="L3" i="56"/>
  <c r="AA9" i="55"/>
  <c r="AF9" i="55"/>
  <c r="V9" i="55"/>
  <c r="AH9" i="55"/>
  <c r="U9" i="55"/>
  <c r="AC9" i="55"/>
  <c r="AL9" i="55"/>
  <c r="AG9" i="55"/>
  <c r="M3" i="56"/>
  <c r="T9" i="55"/>
  <c r="M11" i="57"/>
  <c r="K11" i="57"/>
  <c r="AD9" i="55"/>
  <c r="R9" i="55"/>
  <c r="W9" i="55"/>
  <c r="AB9" i="55"/>
  <c r="N3" i="56"/>
  <c r="AO6" i="35"/>
  <c r="AP6" i="35" s="1"/>
  <c r="Q3" i="29"/>
  <c r="AM6" i="35"/>
  <c r="R3" i="29"/>
  <c r="AN6" i="35"/>
  <c r="V108" i="47"/>
  <c r="Z51" i="29"/>
  <c r="T84" i="47"/>
  <c r="X48" i="29"/>
  <c r="AE23" i="35"/>
  <c r="AA8" i="47"/>
  <c r="AE26" i="35"/>
  <c r="AA7" i="47"/>
  <c r="AF25" i="35"/>
  <c r="AB6" i="47"/>
  <c r="AE24" i="35"/>
  <c r="AA9" i="47"/>
  <c r="AE22" i="35"/>
  <c r="AA5" i="47"/>
  <c r="K15" i="57" l="1"/>
  <c r="K13" i="57"/>
  <c r="K14" i="57"/>
  <c r="AG221" i="58"/>
  <c r="AG259" i="58" s="1"/>
  <c r="AD120" i="47" s="1"/>
  <c r="AG225" i="58"/>
  <c r="AG263" i="58" s="1"/>
  <c r="AD126" i="47" s="1"/>
  <c r="AG223" i="58"/>
  <c r="AG261" i="58" s="1"/>
  <c r="AD122" i="47" s="1"/>
  <c r="AG226" i="58"/>
  <c r="AG264" i="58" s="1"/>
  <c r="AD119" i="47" s="1"/>
  <c r="AG222" i="58"/>
  <c r="AG260" i="58" s="1"/>
  <c r="AD121" i="47" s="1"/>
  <c r="AG224" i="58"/>
  <c r="AG262" i="58" s="1"/>
  <c r="AD124" i="47" s="1"/>
  <c r="AH199" i="58"/>
  <c r="AH201" i="58"/>
  <c r="AH200" i="58"/>
  <c r="AH198" i="58"/>
  <c r="AH205" i="58"/>
  <c r="AH202" i="58"/>
  <c r="AH204" i="58"/>
  <c r="AH197" i="58"/>
  <c r="AH203" i="58"/>
  <c r="AH215" i="58"/>
  <c r="AH212" i="58"/>
  <c r="AH213" i="58"/>
  <c r="AH216" i="58"/>
  <c r="AH210" i="58"/>
  <c r="AH208" i="58"/>
  <c r="AH209" i="58"/>
  <c r="AH214" i="58"/>
  <c r="AH211" i="58"/>
  <c r="AF258" i="58"/>
  <c r="AC118" i="47" s="1"/>
  <c r="AF245" i="58"/>
  <c r="AH190" i="58"/>
  <c r="AH193" i="58"/>
  <c r="AH192" i="58"/>
  <c r="AH188" i="58"/>
  <c r="AH187" i="58"/>
  <c r="AH191" i="58"/>
  <c r="AH186" i="58"/>
  <c r="AH189" i="58"/>
  <c r="AH194" i="58"/>
  <c r="AG228" i="58"/>
  <c r="AG266" i="58" s="1"/>
  <c r="AD123" i="47" s="1"/>
  <c r="AH179" i="58"/>
  <c r="AH238" i="58" s="1"/>
  <c r="AH253" i="58" s="1"/>
  <c r="AE117" i="47" s="1"/>
  <c r="AH176" i="58"/>
  <c r="AH235" i="58" s="1"/>
  <c r="AH250" i="58" s="1"/>
  <c r="AE112" i="47" s="1"/>
  <c r="AH53" i="58"/>
  <c r="AH174" i="58"/>
  <c r="AH233" i="58" s="1"/>
  <c r="AH248" i="58" s="1"/>
  <c r="AE109" i="47" s="1"/>
  <c r="AH177" i="58"/>
  <c r="AH236" i="58" s="1"/>
  <c r="AH251" i="58" s="1"/>
  <c r="AE113" i="47" s="1"/>
  <c r="AH182" i="58"/>
  <c r="AH241" i="58" s="1"/>
  <c r="AH256" i="58" s="1"/>
  <c r="AE114" i="47" s="1"/>
  <c r="AH180" i="58"/>
  <c r="AH239" i="58" s="1"/>
  <c r="AH254" i="58" s="1"/>
  <c r="AE110" i="47" s="1"/>
  <c r="AH181" i="58"/>
  <c r="AH240" i="58" s="1"/>
  <c r="AH255" i="58" s="1"/>
  <c r="AE116" i="47" s="1"/>
  <c r="AH178" i="58"/>
  <c r="AH237" i="58" s="1"/>
  <c r="AH252" i="58" s="1"/>
  <c r="AE115" i="47" s="1"/>
  <c r="AH175" i="58"/>
  <c r="AH234" i="58" s="1"/>
  <c r="AH249" i="58" s="1"/>
  <c r="AE111" i="47" s="1"/>
  <c r="AK35" i="58"/>
  <c r="AK159" i="58"/>
  <c r="AK156" i="58"/>
  <c r="AK155" i="58"/>
  <c r="AK153" i="58"/>
  <c r="AK151" i="58"/>
  <c r="AK157" i="58"/>
  <c r="AK154" i="58"/>
  <c r="AK152" i="58"/>
  <c r="AK158" i="58"/>
  <c r="AG227" i="58"/>
  <c r="AG265" i="58" s="1"/>
  <c r="AD125" i="47" s="1"/>
  <c r="AJ169" i="58"/>
  <c r="AJ168" i="58"/>
  <c r="AJ163" i="58"/>
  <c r="AJ167" i="58"/>
  <c r="AJ166" i="58"/>
  <c r="AJ164" i="58"/>
  <c r="AJ165" i="58"/>
  <c r="AJ170" i="58"/>
  <c r="AJ162" i="58"/>
  <c r="AJ36" i="58"/>
  <c r="AJ41" i="58" s="1"/>
  <c r="AG220" i="58"/>
  <c r="AI44" i="58"/>
  <c r="AI50" i="58" s="1"/>
  <c r="AI45" i="58"/>
  <c r="AI51" i="58" s="1"/>
  <c r="AI46" i="58"/>
  <c r="AI52" i="58" s="1"/>
  <c r="AI43" i="58"/>
  <c r="AI49" i="58" s="1"/>
  <c r="AU95" i="58"/>
  <c r="AU94" i="58"/>
  <c r="AU98" i="58"/>
  <c r="AL23" i="58"/>
  <c r="AL24" i="58" s="1"/>
  <c r="AM10" i="58"/>
  <c r="AU92" i="58"/>
  <c r="AU93" i="58"/>
  <c r="AU99" i="58"/>
  <c r="V86" i="47"/>
  <c r="Z50" i="29"/>
  <c r="V85" i="47"/>
  <c r="Z49" i="29"/>
  <c r="AB22" i="55"/>
  <c r="AB19" i="55"/>
  <c r="AB12" i="55"/>
  <c r="AB10" i="55"/>
  <c r="AB13" i="55"/>
  <c r="AB11" i="55"/>
  <c r="AB20" i="55"/>
  <c r="AB21" i="55"/>
  <c r="AB18" i="55"/>
  <c r="AB16" i="55"/>
  <c r="AB14" i="55"/>
  <c r="AB17" i="55"/>
  <c r="AB15" i="55"/>
  <c r="W19" i="55"/>
  <c r="W22" i="55"/>
  <c r="W10" i="55"/>
  <c r="W13" i="55"/>
  <c r="W21" i="55"/>
  <c r="W11" i="55"/>
  <c r="W20" i="55"/>
  <c r="W12" i="55"/>
  <c r="W16" i="55"/>
  <c r="W17" i="55"/>
  <c r="W14" i="55"/>
  <c r="W18" i="55"/>
  <c r="W15" i="55"/>
  <c r="AH20" i="55"/>
  <c r="AH21" i="55"/>
  <c r="AH15" i="55"/>
  <c r="AH18" i="55"/>
  <c r="AH11" i="55"/>
  <c r="AH13" i="55"/>
  <c r="AH16" i="55"/>
  <c r="AH19" i="55"/>
  <c r="AH22" i="55"/>
  <c r="AH12" i="55"/>
  <c r="AH10" i="55"/>
  <c r="AH17" i="55"/>
  <c r="AH14" i="55"/>
  <c r="AM12" i="55"/>
  <c r="AM13" i="55"/>
  <c r="AM16" i="55"/>
  <c r="AM10" i="55"/>
  <c r="AM17" i="55"/>
  <c r="AM11" i="55"/>
  <c r="AM14" i="55"/>
  <c r="AM20" i="55"/>
  <c r="AM21" i="55"/>
  <c r="AM19" i="55"/>
  <c r="AM15" i="55"/>
  <c r="AM22" i="55"/>
  <c r="AM18" i="55"/>
  <c r="AE35" i="44"/>
  <c r="AF35" i="44"/>
  <c r="R19" i="55"/>
  <c r="R10" i="55"/>
  <c r="R22" i="55"/>
  <c r="R14" i="55"/>
  <c r="R13" i="55"/>
  <c r="R12" i="55"/>
  <c r="R11" i="55"/>
  <c r="R20" i="55"/>
  <c r="R21" i="55"/>
  <c r="R18" i="55"/>
  <c r="R15" i="55"/>
  <c r="R17" i="55"/>
  <c r="R16" i="55"/>
  <c r="V19" i="55"/>
  <c r="V22" i="55"/>
  <c r="V10" i="55"/>
  <c r="V11" i="55"/>
  <c r="V21" i="55"/>
  <c r="V12" i="55"/>
  <c r="V18" i="55"/>
  <c r="V15" i="55"/>
  <c r="V16" i="55"/>
  <c r="V17" i="55"/>
  <c r="V14" i="55"/>
  <c r="V13" i="55"/>
  <c r="V20" i="55"/>
  <c r="X15" i="55"/>
  <c r="X12" i="55"/>
  <c r="X13" i="55"/>
  <c r="X19" i="55"/>
  <c r="X14" i="55"/>
  <c r="X21" i="55"/>
  <c r="X22" i="55"/>
  <c r="X20" i="55"/>
  <c r="X10" i="55"/>
  <c r="X17" i="55"/>
  <c r="X11" i="55"/>
  <c r="X18" i="55"/>
  <c r="X16" i="55"/>
  <c r="AD13" i="55"/>
  <c r="AD19" i="55"/>
  <c r="AD18" i="55"/>
  <c r="AD17" i="55"/>
  <c r="AD15" i="55"/>
  <c r="AD21" i="55"/>
  <c r="AD16" i="55"/>
  <c r="AD20" i="55"/>
  <c r="AD10" i="55"/>
  <c r="AD22" i="55"/>
  <c r="AD11" i="55"/>
  <c r="AD12" i="55"/>
  <c r="AD14" i="55"/>
  <c r="AF19" i="55"/>
  <c r="AF22" i="55"/>
  <c r="AF20" i="55"/>
  <c r="AF21" i="55"/>
  <c r="AF14" i="55"/>
  <c r="AF18" i="55"/>
  <c r="AF17" i="55"/>
  <c r="AF15" i="55"/>
  <c r="AF13" i="55"/>
  <c r="AF10" i="55"/>
  <c r="AF16" i="55"/>
  <c r="AF11" i="55"/>
  <c r="AF12" i="55"/>
  <c r="AK13" i="55"/>
  <c r="AK22" i="55"/>
  <c r="AK16" i="55"/>
  <c r="AK12" i="55"/>
  <c r="AK14" i="55"/>
  <c r="AK15" i="55"/>
  <c r="AK18" i="55"/>
  <c r="AK17" i="55"/>
  <c r="AK10" i="55"/>
  <c r="AK11" i="55"/>
  <c r="AK19" i="55"/>
  <c r="AK20" i="55"/>
  <c r="AK21" i="55"/>
  <c r="AE25" i="44"/>
  <c r="L15" i="57"/>
  <c r="L14" i="57"/>
  <c r="U19" i="55"/>
  <c r="U18" i="55"/>
  <c r="U21" i="55"/>
  <c r="U22" i="55"/>
  <c r="U16" i="55"/>
  <c r="U15" i="55"/>
  <c r="U10" i="55"/>
  <c r="U12" i="55"/>
  <c r="U11" i="55"/>
  <c r="U13" i="55"/>
  <c r="U14" i="55"/>
  <c r="U17" i="55"/>
  <c r="U20" i="55"/>
  <c r="AA12" i="55"/>
  <c r="AA13" i="55"/>
  <c r="AA10" i="55"/>
  <c r="AA11" i="55"/>
  <c r="AA15" i="55"/>
  <c r="AA22" i="55"/>
  <c r="AA14" i="55"/>
  <c r="AA17" i="55"/>
  <c r="AA16" i="55"/>
  <c r="AA21" i="55"/>
  <c r="AA19" i="55"/>
  <c r="AA18" i="55"/>
  <c r="AA20" i="55"/>
  <c r="AO9" i="55"/>
  <c r="AP9" i="55" s="1"/>
  <c r="AN19" i="55"/>
  <c r="AN13" i="55"/>
  <c r="AN21" i="55"/>
  <c r="AN20" i="55"/>
  <c r="AN22" i="55"/>
  <c r="AN10" i="55"/>
  <c r="AN11" i="55"/>
  <c r="AN12" i="55"/>
  <c r="AN15" i="55"/>
  <c r="AN18" i="55"/>
  <c r="AN16" i="55"/>
  <c r="AN14" i="55"/>
  <c r="AN17" i="55"/>
  <c r="L13" i="57"/>
  <c r="R5" i="29"/>
  <c r="R28" i="29"/>
  <c r="L7" i="56"/>
  <c r="L8" i="56"/>
  <c r="T8" i="56" s="1"/>
  <c r="AB8" i="56" s="1"/>
  <c r="L9" i="56"/>
  <c r="T9" i="56" s="1"/>
  <c r="AB9" i="56" s="1"/>
  <c r="M13" i="57"/>
  <c r="M15" i="57"/>
  <c r="M14" i="57"/>
  <c r="AI20" i="55"/>
  <c r="AI12" i="55"/>
  <c r="AI14" i="55"/>
  <c r="AI22" i="55"/>
  <c r="AI13" i="55"/>
  <c r="AI19" i="55"/>
  <c r="AI10" i="55"/>
  <c r="AI11" i="55"/>
  <c r="AI15" i="55"/>
  <c r="AI16" i="55"/>
  <c r="AI18" i="55"/>
  <c r="AI21" i="55"/>
  <c r="AI17" i="55"/>
  <c r="Q22" i="55"/>
  <c r="Q10" i="55"/>
  <c r="Q18" i="55"/>
  <c r="Q34" i="55" s="1"/>
  <c r="Q13" i="55"/>
  <c r="Q17" i="55"/>
  <c r="Q33" i="55" s="1"/>
  <c r="Q14" i="55"/>
  <c r="Q15" i="55"/>
  <c r="Q16" i="55"/>
  <c r="Q32" i="55" s="1"/>
  <c r="Q11" i="55"/>
  <c r="Q21" i="55"/>
  <c r="Q37" i="55" s="1"/>
  <c r="Q20" i="55"/>
  <c r="Q12" i="55"/>
  <c r="Q19" i="55"/>
  <c r="AJ19" i="55"/>
  <c r="AJ11" i="55"/>
  <c r="AJ12" i="55"/>
  <c r="AJ13" i="55"/>
  <c r="AJ22" i="55"/>
  <c r="AJ14" i="55"/>
  <c r="AJ17" i="55"/>
  <c r="AJ21" i="55"/>
  <c r="AJ20" i="55"/>
  <c r="AJ16" i="55"/>
  <c r="AJ10" i="55"/>
  <c r="AJ18" i="55"/>
  <c r="AJ15" i="55"/>
  <c r="T13" i="55"/>
  <c r="T12" i="55"/>
  <c r="T19" i="55"/>
  <c r="T21" i="55"/>
  <c r="T14" i="55"/>
  <c r="T20" i="55"/>
  <c r="T18" i="55"/>
  <c r="T17" i="55"/>
  <c r="T16" i="55"/>
  <c r="T22" i="55"/>
  <c r="T15" i="55"/>
  <c r="T10" i="55"/>
  <c r="T11" i="55"/>
  <c r="Z13" i="55"/>
  <c r="Z14" i="55"/>
  <c r="Z12" i="55"/>
  <c r="Z20" i="55"/>
  <c r="Z22" i="55"/>
  <c r="Z16" i="55"/>
  <c r="Z10" i="55"/>
  <c r="Z17" i="55"/>
  <c r="Z11" i="55"/>
  <c r="Z15" i="55"/>
  <c r="Z18" i="55"/>
  <c r="Z19" i="55"/>
  <c r="Z21" i="55"/>
  <c r="M7" i="56"/>
  <c r="M8" i="56"/>
  <c r="U8" i="56" s="1"/>
  <c r="AC8" i="56" s="1"/>
  <c r="M9" i="56"/>
  <c r="U9" i="56" s="1"/>
  <c r="AC9" i="56" s="1"/>
  <c r="J7" i="56"/>
  <c r="J8" i="56"/>
  <c r="J9" i="56"/>
  <c r="R9" i="56" s="1"/>
  <c r="Z9" i="56" s="1"/>
  <c r="Q5" i="29"/>
  <c r="Q28" i="29"/>
  <c r="Q36" i="29" s="1"/>
  <c r="AG19" i="55"/>
  <c r="AG14" i="55"/>
  <c r="AG22" i="55"/>
  <c r="AG20" i="55"/>
  <c r="AG21" i="55"/>
  <c r="AG12" i="55"/>
  <c r="AG16" i="55"/>
  <c r="AG17" i="55"/>
  <c r="AG10" i="55"/>
  <c r="AG18" i="55"/>
  <c r="AG13" i="55"/>
  <c r="AG11" i="55"/>
  <c r="AG15" i="55"/>
  <c r="S19" i="55"/>
  <c r="S12" i="55"/>
  <c r="S22" i="55"/>
  <c r="S10" i="55"/>
  <c r="S13" i="55"/>
  <c r="S11" i="55"/>
  <c r="S20" i="55"/>
  <c r="S21" i="55"/>
  <c r="S16" i="55"/>
  <c r="S18" i="55"/>
  <c r="S17" i="55"/>
  <c r="S14" i="55"/>
  <c r="S15" i="55"/>
  <c r="AL14" i="55"/>
  <c r="AL10" i="55"/>
  <c r="AL22" i="55"/>
  <c r="AL19" i="55"/>
  <c r="AL11" i="55"/>
  <c r="AL13" i="55"/>
  <c r="AL12" i="55"/>
  <c r="AL17" i="55"/>
  <c r="AL16" i="55"/>
  <c r="AL18" i="55"/>
  <c r="AL21" i="55"/>
  <c r="AL15" i="55"/>
  <c r="AL20" i="55"/>
  <c r="AE14" i="55"/>
  <c r="AE19" i="55"/>
  <c r="AE21" i="55"/>
  <c r="AE20" i="55"/>
  <c r="AE13" i="55"/>
  <c r="AE16" i="55"/>
  <c r="AE17" i="55"/>
  <c r="AE10" i="55"/>
  <c r="AE15" i="55"/>
  <c r="AE11" i="55"/>
  <c r="AE18" i="55"/>
  <c r="AE22" i="55"/>
  <c r="AE12" i="55"/>
  <c r="N8" i="56"/>
  <c r="V8" i="56" s="1"/>
  <c r="AD8" i="56" s="1"/>
  <c r="N7" i="56"/>
  <c r="N9" i="56"/>
  <c r="V9" i="56" s="1"/>
  <c r="AD9" i="56" s="1"/>
  <c r="AC19" i="55"/>
  <c r="AC15" i="55"/>
  <c r="AC18" i="55"/>
  <c r="AC13" i="55"/>
  <c r="AC21" i="55"/>
  <c r="AC20" i="55"/>
  <c r="AC22" i="55"/>
  <c r="AC12" i="55"/>
  <c r="AC10" i="55"/>
  <c r="AC14" i="55"/>
  <c r="AC16" i="55"/>
  <c r="AC11" i="55"/>
  <c r="AC17" i="55"/>
  <c r="Y10" i="55"/>
  <c r="Y11" i="55"/>
  <c r="Y14" i="55"/>
  <c r="Y15" i="55"/>
  <c r="Y12" i="55"/>
  <c r="Y16" i="55"/>
  <c r="Y22" i="55"/>
  <c r="Y17" i="55"/>
  <c r="Y18" i="55"/>
  <c r="Y19" i="55"/>
  <c r="Y13" i="55"/>
  <c r="Y20" i="55"/>
  <c r="Y21" i="55"/>
  <c r="W108" i="47"/>
  <c r="AA51" i="29"/>
  <c r="U84" i="47"/>
  <c r="Y48" i="29"/>
  <c r="AB5" i="47"/>
  <c r="AF22" i="35"/>
  <c r="AG25" i="35"/>
  <c r="AC6" i="47"/>
  <c r="AB8" i="47"/>
  <c r="AF23" i="35"/>
  <c r="AB7" i="47"/>
  <c r="AF26" i="35"/>
  <c r="AF24" i="35"/>
  <c r="AB9" i="47"/>
  <c r="AA47" i="57" l="1"/>
  <c r="R47" i="57"/>
  <c r="AE47" i="57"/>
  <c r="V47" i="57"/>
  <c r="M47" i="57" s="1"/>
  <c r="AC47" i="57"/>
  <c r="T47" i="57"/>
  <c r="K47" i="57" s="1"/>
  <c r="AD47" i="57"/>
  <c r="U47" i="57"/>
  <c r="L47" i="57" s="1"/>
  <c r="AH227" i="58"/>
  <c r="AH265" i="58" s="1"/>
  <c r="AE125" i="47" s="1"/>
  <c r="AE14" i="57"/>
  <c r="V14" i="57"/>
  <c r="AE15" i="57"/>
  <c r="V15" i="57"/>
  <c r="AD14" i="57"/>
  <c r="U14" i="57"/>
  <c r="V13" i="57"/>
  <c r="AE13" i="57"/>
  <c r="U15" i="57"/>
  <c r="AD15" i="57"/>
  <c r="AD13" i="57"/>
  <c r="U13" i="57"/>
  <c r="T13" i="57"/>
  <c r="AC13" i="57" s="1"/>
  <c r="T14" i="57"/>
  <c r="AC14" i="57" s="1"/>
  <c r="T15" i="57"/>
  <c r="AC15" i="57" s="1"/>
  <c r="K16" i="57"/>
  <c r="AH224" i="58"/>
  <c r="AH262" i="58" s="1"/>
  <c r="AE124" i="47" s="1"/>
  <c r="AH222" i="58"/>
  <c r="AH260" i="58" s="1"/>
  <c r="AE121" i="47" s="1"/>
  <c r="AH228" i="58"/>
  <c r="AH266" i="58" s="1"/>
  <c r="AE123" i="47" s="1"/>
  <c r="AH220" i="58"/>
  <c r="AH258" i="58" s="1"/>
  <c r="AE118" i="47" s="1"/>
  <c r="AM23" i="58"/>
  <c r="AM24" i="58" s="1"/>
  <c r="AH221" i="58"/>
  <c r="AH259" i="58" s="1"/>
  <c r="AE120" i="47" s="1"/>
  <c r="AH223" i="58"/>
  <c r="AH261" i="58" s="1"/>
  <c r="AE122" i="47" s="1"/>
  <c r="AG245" i="58"/>
  <c r="AG258" i="58"/>
  <c r="AD118" i="47" s="1"/>
  <c r="AH225" i="58"/>
  <c r="AH263" i="58" s="1"/>
  <c r="AE126" i="47" s="1"/>
  <c r="AK169" i="58"/>
  <c r="AK168" i="58"/>
  <c r="AK166" i="58"/>
  <c r="AK165" i="58"/>
  <c r="AK167" i="58"/>
  <c r="AK164" i="58"/>
  <c r="AK163" i="58"/>
  <c r="AK162" i="58"/>
  <c r="AK170" i="58"/>
  <c r="AK36" i="58"/>
  <c r="AK41" i="58" s="1"/>
  <c r="AH226" i="58"/>
  <c r="AH264" i="58" s="1"/>
  <c r="AE119" i="47" s="1"/>
  <c r="AN10" i="58"/>
  <c r="AL31" i="58"/>
  <c r="AL34" i="58" s="1"/>
  <c r="AI181" i="58"/>
  <c r="AI240" i="58" s="1"/>
  <c r="AI255" i="58" s="1"/>
  <c r="AF116" i="47" s="1"/>
  <c r="AI176" i="58"/>
  <c r="AI235" i="58" s="1"/>
  <c r="AI250" i="58" s="1"/>
  <c r="AF112" i="47" s="1"/>
  <c r="AI175" i="58"/>
  <c r="AI234" i="58" s="1"/>
  <c r="AI249" i="58" s="1"/>
  <c r="AF111" i="47" s="1"/>
  <c r="AI53" i="58"/>
  <c r="AI182" i="58"/>
  <c r="AI241" i="58" s="1"/>
  <c r="AI256" i="58" s="1"/>
  <c r="AF114" i="47" s="1"/>
  <c r="AI179" i="58"/>
  <c r="AI238" i="58" s="1"/>
  <c r="AI253" i="58" s="1"/>
  <c r="AF117" i="47" s="1"/>
  <c r="AI178" i="58"/>
  <c r="AI237" i="58" s="1"/>
  <c r="AI252" i="58" s="1"/>
  <c r="AF115" i="47" s="1"/>
  <c r="AI180" i="58"/>
  <c r="AI239" i="58" s="1"/>
  <c r="AI254" i="58" s="1"/>
  <c r="AF110" i="47" s="1"/>
  <c r="AI174" i="58"/>
  <c r="AI233" i="58" s="1"/>
  <c r="AI248" i="58" s="1"/>
  <c r="AF109" i="47" s="1"/>
  <c r="AI177" i="58"/>
  <c r="AI236" i="58" s="1"/>
  <c r="AI251" i="58" s="1"/>
  <c r="AF113" i="47" s="1"/>
  <c r="AJ46" i="58"/>
  <c r="AJ52" i="58" s="1"/>
  <c r="AJ43" i="58"/>
  <c r="AJ49" i="58" s="1"/>
  <c r="AJ45" i="58"/>
  <c r="AJ51" i="58" s="1"/>
  <c r="AJ44" i="58"/>
  <c r="AJ50" i="58" s="1"/>
  <c r="AI213" i="58"/>
  <c r="AI210" i="58"/>
  <c r="AI208" i="58"/>
  <c r="AI214" i="58"/>
  <c r="AI211" i="58"/>
  <c r="AI215" i="58"/>
  <c r="AI212" i="58"/>
  <c r="AI216" i="58"/>
  <c r="AI209" i="58"/>
  <c r="AI204" i="58"/>
  <c r="AI203" i="58"/>
  <c r="AI202" i="58"/>
  <c r="AI201" i="58"/>
  <c r="AI198" i="58"/>
  <c r="AI199" i="58"/>
  <c r="AI205" i="58"/>
  <c r="AI197" i="58"/>
  <c r="AI200" i="58"/>
  <c r="AI189" i="58"/>
  <c r="AI193" i="58"/>
  <c r="AI192" i="58"/>
  <c r="AI188" i="58"/>
  <c r="AI186" i="58"/>
  <c r="AI190" i="58"/>
  <c r="AI194" i="58"/>
  <c r="AI187" i="58"/>
  <c r="AI191" i="58"/>
  <c r="W86" i="47"/>
  <c r="AA50" i="29"/>
  <c r="X86" i="47" s="1"/>
  <c r="AO17" i="55"/>
  <c r="AL51" i="29"/>
  <c r="AC51" i="29"/>
  <c r="Z108" i="47" s="1"/>
  <c r="W85" i="47"/>
  <c r="AA49" i="29"/>
  <c r="X85" i="47" s="1"/>
  <c r="X108" i="47"/>
  <c r="Y108" i="47"/>
  <c r="AP21" i="55"/>
  <c r="AP15" i="55"/>
  <c r="AO15" i="55"/>
  <c r="R8" i="56"/>
  <c r="Z8" i="56" s="1"/>
  <c r="J104" i="56"/>
  <c r="T88" i="56" s="1"/>
  <c r="AB88" i="56" s="1"/>
  <c r="R37" i="55"/>
  <c r="N134" i="47"/>
  <c r="R7" i="56"/>
  <c r="R60" i="56" s="1"/>
  <c r="J60" i="56"/>
  <c r="L60" i="56" s="1"/>
  <c r="J43" i="56"/>
  <c r="R43" i="56" s="1"/>
  <c r="J48" i="56"/>
  <c r="Q27" i="55"/>
  <c r="M16" i="57"/>
  <c r="AP20" i="55"/>
  <c r="Q36" i="55"/>
  <c r="AP18" i="55"/>
  <c r="AO18" i="55"/>
  <c r="R32" i="55"/>
  <c r="N131" i="47"/>
  <c r="V7" i="56"/>
  <c r="AO16" i="55"/>
  <c r="AP16" i="55"/>
  <c r="S28" i="55"/>
  <c r="Q31" i="55"/>
  <c r="U7" i="56"/>
  <c r="Q30" i="55"/>
  <c r="R30" i="55" s="1"/>
  <c r="S30" i="55" s="1"/>
  <c r="T30" i="55" s="1"/>
  <c r="U30" i="55" s="1"/>
  <c r="V30" i="55" s="1"/>
  <c r="W30" i="55" s="1"/>
  <c r="X30" i="55" s="1"/>
  <c r="Y30" i="55" s="1"/>
  <c r="Z30" i="55" s="1"/>
  <c r="AA30" i="55" s="1"/>
  <c r="AB30" i="55" s="1"/>
  <c r="AC30" i="55" s="1"/>
  <c r="AD30" i="55" s="1"/>
  <c r="AE30" i="55" s="1"/>
  <c r="AF30" i="55" s="1"/>
  <c r="AG30" i="55" s="1"/>
  <c r="AH30" i="55" s="1"/>
  <c r="AI30" i="55" s="1"/>
  <c r="AJ30" i="55" s="1"/>
  <c r="AK30" i="55" s="1"/>
  <c r="AL30" i="55" s="1"/>
  <c r="AM30" i="55" s="1"/>
  <c r="AN30" i="55" s="1"/>
  <c r="T7" i="56"/>
  <c r="AP17" i="55"/>
  <c r="AO12" i="55"/>
  <c r="AP12" i="55"/>
  <c r="U32" i="57"/>
  <c r="L32" i="57" s="1"/>
  <c r="R33" i="55"/>
  <c r="N130" i="47"/>
  <c r="AO11" i="55"/>
  <c r="AP13" i="55"/>
  <c r="AO13" i="55"/>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AO14" i="55"/>
  <c r="AP14" i="55"/>
  <c r="AP11" i="55"/>
  <c r="Q18" i="29"/>
  <c r="Q17" i="29"/>
  <c r="Q16" i="29"/>
  <c r="R34" i="55"/>
  <c r="N128" i="47"/>
  <c r="AO19" i="55"/>
  <c r="AP19" i="55"/>
  <c r="Q26" i="55"/>
  <c r="R26" i="55" s="1"/>
  <c r="S26" i="55" s="1"/>
  <c r="T26" i="55" s="1"/>
  <c r="U26" i="55" s="1"/>
  <c r="V26" i="55" s="1"/>
  <c r="W26" i="55" s="1"/>
  <c r="X26" i="55" s="1"/>
  <c r="Y26" i="55" s="1"/>
  <c r="Z26" i="55" s="1"/>
  <c r="AA26" i="55" s="1"/>
  <c r="AB26" i="55" s="1"/>
  <c r="AC26" i="55" s="1"/>
  <c r="AD26" i="55" s="1"/>
  <c r="AE26" i="55" s="1"/>
  <c r="AF26" i="55" s="1"/>
  <c r="AG26" i="55" s="1"/>
  <c r="AH26" i="55" s="1"/>
  <c r="AI26" i="55" s="1"/>
  <c r="AJ26" i="55" s="1"/>
  <c r="AK26" i="55" s="1"/>
  <c r="AL26" i="55" s="1"/>
  <c r="AM26" i="55" s="1"/>
  <c r="AN26" i="55" s="1"/>
  <c r="R36" i="29"/>
  <c r="AO20" i="55"/>
  <c r="AE26" i="44"/>
  <c r="AF26" i="44"/>
  <c r="AP22" i="55"/>
  <c r="AO22" i="55"/>
  <c r="Q35" i="55"/>
  <c r="R35" i="55" s="1"/>
  <c r="S35" i="55" s="1"/>
  <c r="T35" i="55" s="1"/>
  <c r="U35" i="55" s="1"/>
  <c r="V35" i="55" s="1"/>
  <c r="W35" i="55" s="1"/>
  <c r="X35" i="55" s="1"/>
  <c r="Y35" i="55" s="1"/>
  <c r="Z35" i="55" s="1"/>
  <c r="AA35" i="55" s="1"/>
  <c r="AB35" i="55" s="1"/>
  <c r="AC35" i="55" s="1"/>
  <c r="AD35" i="55" s="1"/>
  <c r="AE35" i="55" s="1"/>
  <c r="AF35" i="55" s="1"/>
  <c r="AG35" i="55" s="1"/>
  <c r="AH35" i="55" s="1"/>
  <c r="AI35" i="55" s="1"/>
  <c r="AJ35" i="55" s="1"/>
  <c r="AK35" i="55" s="1"/>
  <c r="AL35" i="55" s="1"/>
  <c r="AM35" i="55" s="1"/>
  <c r="AN35" i="55" s="1"/>
  <c r="Q38" i="55"/>
  <c r="R38" i="55" s="1"/>
  <c r="S38" i="55" s="1"/>
  <c r="T38" i="55" s="1"/>
  <c r="U38" i="55" s="1"/>
  <c r="V38" i="55" s="1"/>
  <c r="W38" i="55" s="1"/>
  <c r="X38" i="55" s="1"/>
  <c r="Y38" i="55" s="1"/>
  <c r="Z38" i="55" s="1"/>
  <c r="AA38" i="55" s="1"/>
  <c r="AB38" i="55" s="1"/>
  <c r="AC38" i="55" s="1"/>
  <c r="AD38" i="55" s="1"/>
  <c r="AE38" i="55" s="1"/>
  <c r="AF38" i="55" s="1"/>
  <c r="AG38" i="55" s="1"/>
  <c r="AH38" i="55" s="1"/>
  <c r="AI38" i="55" s="1"/>
  <c r="AJ38" i="55" s="1"/>
  <c r="AK38" i="55" s="1"/>
  <c r="AL38" i="55" s="1"/>
  <c r="AM38" i="55" s="1"/>
  <c r="AN38" i="55" s="1"/>
  <c r="AO21" i="55"/>
  <c r="AP10" i="55"/>
  <c r="AO10" i="55"/>
  <c r="L16" i="57"/>
  <c r="V84" i="47"/>
  <c r="Z48" i="29"/>
  <c r="AC8" i="47"/>
  <c r="AG23" i="35"/>
  <c r="AC9" i="47"/>
  <c r="AG24" i="35"/>
  <c r="AH25" i="35"/>
  <c r="AD6" i="47"/>
  <c r="AG26" i="35"/>
  <c r="AC7" i="47"/>
  <c r="AG22" i="35"/>
  <c r="AC5" i="47"/>
  <c r="T60" i="56" l="1"/>
  <c r="U60" i="56" s="1"/>
  <c r="V60" i="56" s="1"/>
  <c r="Z60" i="56"/>
  <c r="I47" i="57"/>
  <c r="R49" i="57"/>
  <c r="T43" i="56"/>
  <c r="R76" i="56"/>
  <c r="R92" i="56" s="1"/>
  <c r="Z92" i="56" s="1"/>
  <c r="Z43" i="56"/>
  <c r="Z76" i="56" s="1"/>
  <c r="AM31" i="58"/>
  <c r="AM34" i="58" s="1"/>
  <c r="AD16" i="57"/>
  <c r="AE16" i="57"/>
  <c r="V32" i="57"/>
  <c r="M32" i="57" s="1"/>
  <c r="U87" i="57"/>
  <c r="U56" i="57"/>
  <c r="V107" i="57"/>
  <c r="V93" i="57"/>
  <c r="M93" i="57" s="1"/>
  <c r="V54" i="57"/>
  <c r="V75" i="57"/>
  <c r="M75" i="57" s="1"/>
  <c r="U75" i="57"/>
  <c r="L75" i="57" s="1"/>
  <c r="U54" i="57"/>
  <c r="U107" i="57"/>
  <c r="U93" i="57"/>
  <c r="L93" i="57" s="1"/>
  <c r="U16" i="57"/>
  <c r="U55" i="57"/>
  <c r="U108" i="57"/>
  <c r="U97" i="57"/>
  <c r="U81" i="57"/>
  <c r="T109" i="57"/>
  <c r="T101" i="57"/>
  <c r="T86" i="57"/>
  <c r="T56" i="57"/>
  <c r="U86" i="57"/>
  <c r="U101" i="57"/>
  <c r="U109" i="57"/>
  <c r="T16" i="57"/>
  <c r="AC16" i="57" s="1"/>
  <c r="T55" i="57"/>
  <c r="T81" i="57"/>
  <c r="T97" i="57"/>
  <c r="T108" i="57"/>
  <c r="V101" i="57"/>
  <c r="V86" i="57"/>
  <c r="T93" i="57"/>
  <c r="K93" i="57" s="1"/>
  <c r="T107" i="57"/>
  <c r="T75" i="57"/>
  <c r="K75" i="57" s="1"/>
  <c r="T54" i="57"/>
  <c r="V16" i="57"/>
  <c r="V97" i="57"/>
  <c r="V108" i="57"/>
  <c r="V55" i="57"/>
  <c r="V81" i="57"/>
  <c r="AL35" i="58"/>
  <c r="AL159" i="58"/>
  <c r="AL156" i="58"/>
  <c r="AL155" i="58"/>
  <c r="AL154" i="58"/>
  <c r="AL158" i="58"/>
  <c r="AL152" i="58"/>
  <c r="AL151" i="58"/>
  <c r="AL157" i="58"/>
  <c r="AL153" i="58"/>
  <c r="AK44" i="58"/>
  <c r="AK50" i="58" s="1"/>
  <c r="AK43" i="58"/>
  <c r="AK49" i="58" s="1"/>
  <c r="AK46" i="58"/>
  <c r="AK52" i="58" s="1"/>
  <c r="AK45" i="58"/>
  <c r="AK51" i="58" s="1"/>
  <c r="AI225" i="58"/>
  <c r="AI263" i="58" s="1"/>
  <c r="AF126" i="47" s="1"/>
  <c r="AH245" i="58"/>
  <c r="AI228" i="58"/>
  <c r="AI266" i="58" s="1"/>
  <c r="AF123" i="47" s="1"/>
  <c r="AI227" i="58"/>
  <c r="AI265" i="58" s="1"/>
  <c r="AF125" i="47" s="1"/>
  <c r="AI223" i="58"/>
  <c r="AI261" i="58" s="1"/>
  <c r="AF122" i="47" s="1"/>
  <c r="AJ197" i="58"/>
  <c r="AJ201" i="58"/>
  <c r="AJ202" i="58"/>
  <c r="AJ205" i="58"/>
  <c r="AJ203" i="58"/>
  <c r="AJ204" i="58"/>
  <c r="AJ200" i="58"/>
  <c r="AJ198" i="58"/>
  <c r="AJ199" i="58"/>
  <c r="AJ176" i="58"/>
  <c r="AJ235" i="58" s="1"/>
  <c r="AJ250" i="58" s="1"/>
  <c r="AG112" i="47" s="1"/>
  <c r="AJ175" i="58"/>
  <c r="AJ234" i="58" s="1"/>
  <c r="AJ249" i="58" s="1"/>
  <c r="AG111" i="47" s="1"/>
  <c r="AJ179" i="58"/>
  <c r="AJ238" i="58" s="1"/>
  <c r="AJ253" i="58" s="1"/>
  <c r="AG117" i="47" s="1"/>
  <c r="AJ180" i="58"/>
  <c r="AJ239" i="58" s="1"/>
  <c r="AJ254" i="58" s="1"/>
  <c r="AG110" i="47" s="1"/>
  <c r="AJ174" i="58"/>
  <c r="AJ233" i="58" s="1"/>
  <c r="AJ248" i="58" s="1"/>
  <c r="AG109" i="47" s="1"/>
  <c r="AJ181" i="58"/>
  <c r="AJ240" i="58" s="1"/>
  <c r="AJ255" i="58" s="1"/>
  <c r="AG116" i="47" s="1"/>
  <c r="AJ177" i="58"/>
  <c r="AJ236" i="58" s="1"/>
  <c r="AJ251" i="58" s="1"/>
  <c r="AG113" i="47" s="1"/>
  <c r="AJ182" i="58"/>
  <c r="AJ241" i="58" s="1"/>
  <c r="AJ256" i="58" s="1"/>
  <c r="AG114" i="47" s="1"/>
  <c r="AJ178" i="58"/>
  <c r="AJ237" i="58" s="1"/>
  <c r="AJ252" i="58" s="1"/>
  <c r="AG115" i="47" s="1"/>
  <c r="AJ53" i="58"/>
  <c r="AJ187" i="58"/>
  <c r="AJ191" i="58"/>
  <c r="AJ186" i="58"/>
  <c r="AJ192" i="58"/>
  <c r="AJ194" i="58"/>
  <c r="AJ188" i="58"/>
  <c r="AJ190" i="58"/>
  <c r="AJ193" i="58"/>
  <c r="AJ189" i="58"/>
  <c r="AI221" i="58"/>
  <c r="AI259" i="58" s="1"/>
  <c r="AF120" i="47" s="1"/>
  <c r="AI224" i="58"/>
  <c r="AI262" i="58" s="1"/>
  <c r="AF124" i="47" s="1"/>
  <c r="AM35" i="58"/>
  <c r="AM155" i="58"/>
  <c r="AM159" i="58"/>
  <c r="AM156" i="58"/>
  <c r="AM153" i="58"/>
  <c r="AM158" i="58"/>
  <c r="AM151" i="58"/>
  <c r="AM154" i="58"/>
  <c r="AM157" i="58"/>
  <c r="AM152" i="58"/>
  <c r="AI220" i="58"/>
  <c r="AJ210" i="58"/>
  <c r="AJ208" i="58"/>
  <c r="AJ209" i="58"/>
  <c r="AJ212" i="58"/>
  <c r="AJ213" i="58"/>
  <c r="AJ215" i="58"/>
  <c r="AJ211" i="58"/>
  <c r="AJ214" i="58"/>
  <c r="AJ216" i="58"/>
  <c r="AN23" i="58"/>
  <c r="AO10" i="58"/>
  <c r="AI222" i="58"/>
  <c r="AI260" i="58" s="1"/>
  <c r="AF121" i="47" s="1"/>
  <c r="AI226" i="58"/>
  <c r="AI264" i="58" s="1"/>
  <c r="AF119" i="47" s="1"/>
  <c r="S176" i="56"/>
  <c r="Q176" i="56"/>
  <c r="R176" i="56" s="1"/>
  <c r="AO35" i="55"/>
  <c r="AP35" i="55" s="1"/>
  <c r="AD51" i="29"/>
  <c r="S123" i="56"/>
  <c r="P149" i="56" s="1"/>
  <c r="M99" i="47" s="1"/>
  <c r="AO29" i="55"/>
  <c r="AP29" i="55" s="1"/>
  <c r="AO38" i="55"/>
  <c r="AP38" i="55" s="1"/>
  <c r="AO26" i="55"/>
  <c r="AP26" i="55" s="1"/>
  <c r="AB7" i="56"/>
  <c r="AD93" i="57"/>
  <c r="AD75" i="57"/>
  <c r="AC75" i="57"/>
  <c r="AC93" i="57"/>
  <c r="S34" i="55"/>
  <c r="O128" i="47"/>
  <c r="Q22" i="29"/>
  <c r="R16" i="29"/>
  <c r="R22" i="29" s="1"/>
  <c r="Q23" i="29"/>
  <c r="R17" i="29"/>
  <c r="R23" i="29" s="1"/>
  <c r="Q24" i="29"/>
  <c r="R18" i="29"/>
  <c r="R24" i="29" s="1"/>
  <c r="AO30" i="55"/>
  <c r="AP30" i="55" s="1"/>
  <c r="Z7" i="56"/>
  <c r="AD7" i="56"/>
  <c r="AC7" i="56"/>
  <c r="R31" i="55"/>
  <c r="N129" i="47"/>
  <c r="S33" i="55"/>
  <c r="O130" i="47"/>
  <c r="S32" i="55"/>
  <c r="O131" i="47"/>
  <c r="AE93" i="57"/>
  <c r="AE75" i="57"/>
  <c r="L48" i="56"/>
  <c r="S37" i="55"/>
  <c r="O134" i="47"/>
  <c r="J88" i="56"/>
  <c r="L104" i="56"/>
  <c r="V88" i="56" s="1"/>
  <c r="AD88" i="56" s="1"/>
  <c r="T28" i="55"/>
  <c r="P127" i="47"/>
  <c r="R27" i="55"/>
  <c r="N135" i="47"/>
  <c r="J92" i="56"/>
  <c r="J76" i="56" s="1"/>
  <c r="L43" i="56"/>
  <c r="AC176" i="56" s="1"/>
  <c r="L51" i="56"/>
  <c r="L52" i="56"/>
  <c r="L55" i="56"/>
  <c r="L56" i="56"/>
  <c r="L54" i="56"/>
  <c r="L58" i="56"/>
  <c r="L53" i="56"/>
  <c r="L57" i="56"/>
  <c r="L59" i="56"/>
  <c r="M60" i="56"/>
  <c r="R36" i="55"/>
  <c r="N133" i="47"/>
  <c r="J54" i="56"/>
  <c r="J52" i="56"/>
  <c r="J55" i="56"/>
  <c r="J59" i="56"/>
  <c r="J51" i="56"/>
  <c r="J53" i="56"/>
  <c r="J57" i="56"/>
  <c r="J56" i="56"/>
  <c r="J58" i="56"/>
  <c r="W84" i="47"/>
  <c r="AA48" i="29"/>
  <c r="AH26" i="35"/>
  <c r="AD7" i="47"/>
  <c r="AH23" i="35"/>
  <c r="AD8" i="47"/>
  <c r="AI25" i="35"/>
  <c r="AE6" i="47"/>
  <c r="AD5" i="47"/>
  <c r="AH22" i="35"/>
  <c r="AH24" i="35"/>
  <c r="AD9" i="47"/>
  <c r="V109" i="57" l="1"/>
  <c r="R50" i="57"/>
  <c r="AA49" i="57"/>
  <c r="I49" i="57" s="1"/>
  <c r="S49" i="57" s="1"/>
  <c r="U43" i="56"/>
  <c r="T76" i="56"/>
  <c r="T92" i="56" s="1"/>
  <c r="V87" i="57"/>
  <c r="V56" i="57"/>
  <c r="AL169" i="58"/>
  <c r="AL168" i="58"/>
  <c r="AL167" i="58"/>
  <c r="AL166" i="58"/>
  <c r="AL165" i="58"/>
  <c r="AL164" i="58"/>
  <c r="AL163" i="58"/>
  <c r="AL162" i="58"/>
  <c r="AL170" i="58"/>
  <c r="AL36" i="58"/>
  <c r="AL41" i="58" s="1"/>
  <c r="AJ220" i="58"/>
  <c r="AJ225" i="58"/>
  <c r="AJ263" i="58" s="1"/>
  <c r="AG126" i="47" s="1"/>
  <c r="AJ221" i="58"/>
  <c r="AJ259" i="58" s="1"/>
  <c r="AG120" i="47" s="1"/>
  <c r="AO23" i="58"/>
  <c r="AP10" i="58"/>
  <c r="AI245" i="58"/>
  <c r="AI258" i="58"/>
  <c r="AF118" i="47" s="1"/>
  <c r="AN31" i="58"/>
  <c r="AN34" i="58" s="1"/>
  <c r="AN24" i="58"/>
  <c r="AJ223" i="58"/>
  <c r="AJ261" i="58" s="1"/>
  <c r="AG122" i="47" s="1"/>
  <c r="AK191" i="58"/>
  <c r="AK194" i="58"/>
  <c r="AK188" i="58"/>
  <c r="AK192" i="58"/>
  <c r="AK189" i="58"/>
  <c r="AK190" i="58"/>
  <c r="AK193" i="58"/>
  <c r="AK187" i="58"/>
  <c r="AK186" i="58"/>
  <c r="AK213" i="58"/>
  <c r="AK212" i="58"/>
  <c r="AK209" i="58"/>
  <c r="AK215" i="58"/>
  <c r="AK208" i="58"/>
  <c r="AK216" i="58"/>
  <c r="AK210" i="58"/>
  <c r="AK211" i="58"/>
  <c r="AK214" i="58"/>
  <c r="AJ227" i="58"/>
  <c r="AJ265" i="58" s="1"/>
  <c r="AG125" i="47" s="1"/>
  <c r="AK178" i="58"/>
  <c r="AK237" i="58" s="1"/>
  <c r="AK252" i="58" s="1"/>
  <c r="AH115" i="47" s="1"/>
  <c r="AK174" i="58"/>
  <c r="AK233" i="58" s="1"/>
  <c r="AK248" i="58" s="1"/>
  <c r="AH109" i="47" s="1"/>
  <c r="AK176" i="58"/>
  <c r="AK235" i="58" s="1"/>
  <c r="AK250" i="58" s="1"/>
  <c r="AH112" i="47" s="1"/>
  <c r="AK53" i="58"/>
  <c r="AK179" i="58"/>
  <c r="AK238" i="58" s="1"/>
  <c r="AK253" i="58" s="1"/>
  <c r="AH117" i="47" s="1"/>
  <c r="AK182" i="58"/>
  <c r="AK241" i="58" s="1"/>
  <c r="AK256" i="58" s="1"/>
  <c r="AH114" i="47" s="1"/>
  <c r="AK175" i="58"/>
  <c r="AK234" i="58" s="1"/>
  <c r="AK249" i="58" s="1"/>
  <c r="AH111" i="47" s="1"/>
  <c r="AK177" i="58"/>
  <c r="AK236" i="58" s="1"/>
  <c r="AK251" i="58" s="1"/>
  <c r="AH113" i="47" s="1"/>
  <c r="AK180" i="58"/>
  <c r="AK239" i="58" s="1"/>
  <c r="AK254" i="58" s="1"/>
  <c r="AH110" i="47" s="1"/>
  <c r="AK181" i="58"/>
  <c r="AK240" i="58" s="1"/>
  <c r="AK255" i="58" s="1"/>
  <c r="AH116" i="47" s="1"/>
  <c r="AK202" i="58"/>
  <c r="AK197" i="58"/>
  <c r="AK205" i="58"/>
  <c r="AK199" i="58"/>
  <c r="AK198" i="58"/>
  <c r="AK201" i="58"/>
  <c r="AK204" i="58"/>
  <c r="AK200" i="58"/>
  <c r="AK203" i="58"/>
  <c r="AJ224" i="58"/>
  <c r="AJ262" i="58" s="1"/>
  <c r="AG124" i="47" s="1"/>
  <c r="AJ222" i="58"/>
  <c r="AJ260" i="58" s="1"/>
  <c r="AG121" i="47" s="1"/>
  <c r="AM170" i="58"/>
  <c r="AM163" i="58"/>
  <c r="AM165" i="58"/>
  <c r="AM169" i="58"/>
  <c r="AM168" i="58"/>
  <c r="AM166" i="58"/>
  <c r="AM167" i="58"/>
  <c r="AM162" i="58"/>
  <c r="AM164" i="58"/>
  <c r="AM36" i="58"/>
  <c r="AJ228" i="58"/>
  <c r="AJ266" i="58" s="1"/>
  <c r="AG123" i="47" s="1"/>
  <c r="AJ226" i="58"/>
  <c r="AJ264" i="58" s="1"/>
  <c r="AG119" i="47" s="1"/>
  <c r="T123" i="56"/>
  <c r="S179" i="56"/>
  <c r="T179" i="56" s="1"/>
  <c r="U179" i="56" s="1"/>
  <c r="V179" i="56" s="1"/>
  <c r="W179" i="56" s="1"/>
  <c r="X179" i="56" s="1"/>
  <c r="Y179" i="56" s="1"/>
  <c r="Z179" i="56" s="1"/>
  <c r="AA179" i="56" s="1"/>
  <c r="AB179" i="56" s="1"/>
  <c r="Q179" i="56"/>
  <c r="R179" i="56" s="1"/>
  <c r="S182" i="56"/>
  <c r="T182" i="56" s="1"/>
  <c r="U182" i="56" s="1"/>
  <c r="V182" i="56" s="1"/>
  <c r="W182" i="56" s="1"/>
  <c r="X182" i="56" s="1"/>
  <c r="Y182" i="56" s="1"/>
  <c r="Z182" i="56" s="1"/>
  <c r="AA182" i="56" s="1"/>
  <c r="AB182" i="56" s="1"/>
  <c r="Q182" i="56"/>
  <c r="R182" i="56" s="1"/>
  <c r="S181" i="56"/>
  <c r="T181" i="56" s="1"/>
  <c r="U181" i="56" s="1"/>
  <c r="V181" i="56" s="1"/>
  <c r="W181" i="56" s="1"/>
  <c r="X181" i="56" s="1"/>
  <c r="Y181" i="56" s="1"/>
  <c r="Z181" i="56" s="1"/>
  <c r="AA181" i="56" s="1"/>
  <c r="AB181" i="56" s="1"/>
  <c r="Q181" i="56"/>
  <c r="R181" i="56" s="1"/>
  <c r="S184" i="56"/>
  <c r="T184" i="56" s="1"/>
  <c r="U184" i="56" s="1"/>
  <c r="V184" i="56" s="1"/>
  <c r="W184" i="56" s="1"/>
  <c r="X184" i="56" s="1"/>
  <c r="Y184" i="56" s="1"/>
  <c r="Z184" i="56" s="1"/>
  <c r="AA184" i="56" s="1"/>
  <c r="AB184" i="56" s="1"/>
  <c r="Q184" i="56"/>
  <c r="R184" i="56" s="1"/>
  <c r="S180" i="56"/>
  <c r="T180" i="56" s="1"/>
  <c r="U180" i="56" s="1"/>
  <c r="V180" i="56" s="1"/>
  <c r="W180" i="56" s="1"/>
  <c r="X180" i="56" s="1"/>
  <c r="Y180" i="56" s="1"/>
  <c r="Z180" i="56" s="1"/>
  <c r="AA180" i="56" s="1"/>
  <c r="AB180" i="56" s="1"/>
  <c r="Q180" i="56"/>
  <c r="R180" i="56" s="1"/>
  <c r="S185" i="56"/>
  <c r="T185" i="56" s="1"/>
  <c r="U185" i="56" s="1"/>
  <c r="V185" i="56" s="1"/>
  <c r="W185" i="56" s="1"/>
  <c r="X185" i="56" s="1"/>
  <c r="Y185" i="56" s="1"/>
  <c r="Z185" i="56" s="1"/>
  <c r="AA185" i="56" s="1"/>
  <c r="AB185" i="56" s="1"/>
  <c r="Q185" i="56"/>
  <c r="R185" i="56" s="1"/>
  <c r="S178" i="56"/>
  <c r="T178" i="56" s="1"/>
  <c r="U178" i="56" s="1"/>
  <c r="V178" i="56" s="1"/>
  <c r="W178" i="56" s="1"/>
  <c r="X178" i="56" s="1"/>
  <c r="Y178" i="56" s="1"/>
  <c r="Z178" i="56" s="1"/>
  <c r="AA178" i="56" s="1"/>
  <c r="AB178" i="56" s="1"/>
  <c r="Q178" i="56"/>
  <c r="R178" i="56" s="1"/>
  <c r="S183" i="56"/>
  <c r="T183" i="56" s="1"/>
  <c r="U183" i="56" s="1"/>
  <c r="V183" i="56" s="1"/>
  <c r="W183" i="56" s="1"/>
  <c r="X183" i="56" s="1"/>
  <c r="Y183" i="56" s="1"/>
  <c r="Z183" i="56" s="1"/>
  <c r="AA183" i="56" s="1"/>
  <c r="AB183" i="56" s="1"/>
  <c r="Q183" i="56"/>
  <c r="R183" i="56" s="1"/>
  <c r="AA108" i="47"/>
  <c r="AE51" i="29"/>
  <c r="AL50" i="29"/>
  <c r="AI86" i="47" s="1"/>
  <c r="AC50" i="29"/>
  <c r="Z86" i="47" s="1"/>
  <c r="AC49" i="29"/>
  <c r="Z85" i="47" s="1"/>
  <c r="AL49" i="29"/>
  <c r="AI85" i="47" s="1"/>
  <c r="AL48" i="29"/>
  <c r="AC48" i="29"/>
  <c r="Z84" i="47" s="1"/>
  <c r="X84" i="47"/>
  <c r="Y84" i="47"/>
  <c r="T176" i="56"/>
  <c r="U176" i="56" s="1"/>
  <c r="V176" i="56" s="1"/>
  <c r="W176" i="56" s="1"/>
  <c r="X176" i="56" s="1"/>
  <c r="Y176" i="56" s="1"/>
  <c r="Z176" i="56" s="1"/>
  <c r="AA176" i="56" s="1"/>
  <c r="AB176" i="56" s="1"/>
  <c r="S111" i="56"/>
  <c r="P137" i="56" s="1"/>
  <c r="M87" i="47" s="1"/>
  <c r="Q188" i="56"/>
  <c r="J100" i="56"/>
  <c r="J84" i="56" s="1"/>
  <c r="AC184" i="56"/>
  <c r="L98" i="56"/>
  <c r="L82" i="56" s="1"/>
  <c r="M48" i="56"/>
  <c r="J94" i="56"/>
  <c r="J78" i="56" s="1"/>
  <c r="AC178" i="56"/>
  <c r="L94" i="56"/>
  <c r="L78" i="56" s="1"/>
  <c r="S31" i="55"/>
  <c r="O129" i="47"/>
  <c r="R59" i="56"/>
  <c r="R57" i="56"/>
  <c r="R56" i="56"/>
  <c r="R51" i="56"/>
  <c r="R53" i="56"/>
  <c r="R55" i="56"/>
  <c r="R52" i="56"/>
  <c r="R54" i="56"/>
  <c r="R58" i="56"/>
  <c r="AC180" i="56"/>
  <c r="J96" i="56"/>
  <c r="J80" i="56" s="1"/>
  <c r="L95" i="56"/>
  <c r="L79" i="56" s="1"/>
  <c r="J98" i="56"/>
  <c r="J82" i="56" s="1"/>
  <c r="AC182" i="56"/>
  <c r="S36" i="55"/>
  <c r="O133" i="47"/>
  <c r="J95" i="56"/>
  <c r="J79" i="56" s="1"/>
  <c r="AC179" i="56"/>
  <c r="M51" i="56"/>
  <c r="AM178" i="56" s="1"/>
  <c r="M57" i="56"/>
  <c r="AM184" i="56" s="1"/>
  <c r="M52" i="56"/>
  <c r="AM179" i="56" s="1"/>
  <c r="M55" i="56"/>
  <c r="AM182" i="56" s="1"/>
  <c r="M58" i="56"/>
  <c r="AM185" i="56" s="1"/>
  <c r="M53" i="56"/>
  <c r="AM180" i="56" s="1"/>
  <c r="M56" i="56"/>
  <c r="AM183" i="56" s="1"/>
  <c r="M54" i="56"/>
  <c r="AM181" i="56" s="1"/>
  <c r="M59" i="56"/>
  <c r="N60" i="56"/>
  <c r="U28" i="55"/>
  <c r="Q127" i="47"/>
  <c r="P130" i="47"/>
  <c r="T33" i="55"/>
  <c r="AC181" i="56"/>
  <c r="J97" i="56"/>
  <c r="J81" i="56" s="1"/>
  <c r="L102" i="56"/>
  <c r="L86" i="56"/>
  <c r="AR78" i="56" s="1"/>
  <c r="T32" i="55"/>
  <c r="P131" i="47"/>
  <c r="R57" i="57"/>
  <c r="J102" i="56"/>
  <c r="J86" i="56"/>
  <c r="AQ78" i="56" s="1"/>
  <c r="L88" i="56"/>
  <c r="M104" i="56"/>
  <c r="L96" i="56"/>
  <c r="L80" i="56" s="1"/>
  <c r="T34" i="55"/>
  <c r="P128" i="47"/>
  <c r="L92" i="56"/>
  <c r="L76" i="56" s="1"/>
  <c r="M43" i="56"/>
  <c r="AM176" i="56" s="1"/>
  <c r="L100" i="56"/>
  <c r="L84" i="56" s="1"/>
  <c r="L101" i="56"/>
  <c r="L85" i="56" s="1"/>
  <c r="O135" i="47"/>
  <c r="S27" i="55"/>
  <c r="AC185" i="56"/>
  <c r="J101" i="56"/>
  <c r="J85" i="56" s="1"/>
  <c r="L97" i="56"/>
  <c r="L81" i="56" s="1"/>
  <c r="J99" i="56"/>
  <c r="J83" i="56" s="1"/>
  <c r="AC183" i="56"/>
  <c r="L99" i="56"/>
  <c r="L83" i="56" s="1"/>
  <c r="T37" i="55"/>
  <c r="P134" i="47"/>
  <c r="AJ25" i="35"/>
  <c r="AF6" i="47"/>
  <c r="AE8" i="47"/>
  <c r="AI23" i="35"/>
  <c r="AE5" i="47"/>
  <c r="AI22" i="35"/>
  <c r="AI24" i="35"/>
  <c r="AE9" i="47"/>
  <c r="AE7" i="47"/>
  <c r="AI26" i="35"/>
  <c r="AC49" i="57" l="1"/>
  <c r="AC57" i="57" s="1"/>
  <c r="AA57" i="57"/>
  <c r="I57" i="57" s="1"/>
  <c r="AB49" i="57"/>
  <c r="AB57" i="57" s="1"/>
  <c r="S50" i="57"/>
  <c r="S57" i="57"/>
  <c r="J49" i="57"/>
  <c r="T49" i="57" s="1"/>
  <c r="R110" i="57"/>
  <c r="AA50" i="57"/>
  <c r="I50" i="57" s="1"/>
  <c r="R51" i="57"/>
  <c r="AA51" i="57" s="1"/>
  <c r="I51" i="57" s="1"/>
  <c r="R82" i="56"/>
  <c r="R98" i="56" s="1"/>
  <c r="Z98" i="56" s="1"/>
  <c r="Z55" i="56"/>
  <c r="Z82" i="56" s="1"/>
  <c r="R80" i="56"/>
  <c r="R96" i="56" s="1"/>
  <c r="Z96" i="56" s="1"/>
  <c r="Z53" i="56"/>
  <c r="Z80" i="56" s="1"/>
  <c r="Z51" i="56"/>
  <c r="Z78" i="56" s="1"/>
  <c r="R78" i="56"/>
  <c r="R94" i="56" s="1"/>
  <c r="Z94" i="56" s="1"/>
  <c r="R85" i="56"/>
  <c r="R101" i="56" s="1"/>
  <c r="Z101" i="56" s="1"/>
  <c r="Z58" i="56"/>
  <c r="Z85" i="56" s="1"/>
  <c r="Z54" i="56"/>
  <c r="Z81" i="56" s="1"/>
  <c r="R81" i="56"/>
  <c r="R97" i="56" s="1"/>
  <c r="Z97" i="56" s="1"/>
  <c r="R83" i="56"/>
  <c r="R99" i="56" s="1"/>
  <c r="Z99" i="56" s="1"/>
  <c r="Z56" i="56"/>
  <c r="Z83" i="56" s="1"/>
  <c r="R79" i="56"/>
  <c r="R95" i="56" s="1"/>
  <c r="Z95" i="56" s="1"/>
  <c r="Z52" i="56"/>
  <c r="Z79" i="56" s="1"/>
  <c r="R84" i="56"/>
  <c r="R100" i="56" s="1"/>
  <c r="Z100" i="56" s="1"/>
  <c r="Z57" i="56"/>
  <c r="Z84" i="56" s="1"/>
  <c r="R86" i="56"/>
  <c r="AK78" i="56" s="1"/>
  <c r="Z59" i="56"/>
  <c r="Z86" i="56" s="1"/>
  <c r="V43" i="56"/>
  <c r="V76" i="56" s="1"/>
  <c r="U76" i="56"/>
  <c r="U92" i="56" s="1"/>
  <c r="AC50" i="57"/>
  <c r="R58" i="57"/>
  <c r="Q149" i="56"/>
  <c r="R188" i="56" s="1"/>
  <c r="U123" i="56"/>
  <c r="AM41" i="58"/>
  <c r="AM45" i="58" s="1"/>
  <c r="AJ245" i="58"/>
  <c r="AL45" i="58"/>
  <c r="AL51" i="58" s="1"/>
  <c r="AL203" i="58" s="1"/>
  <c r="AL44" i="58"/>
  <c r="AL50" i="58" s="1"/>
  <c r="AL194" i="58" s="1"/>
  <c r="AL43" i="58"/>
  <c r="AL49" i="58" s="1"/>
  <c r="AL180" i="58" s="1"/>
  <c r="AL239" i="58" s="1"/>
  <c r="AL254" i="58" s="1"/>
  <c r="AI110" i="47" s="1"/>
  <c r="AL46" i="58"/>
  <c r="AL52" i="58" s="1"/>
  <c r="AL210" i="58" s="1"/>
  <c r="AJ258" i="58"/>
  <c r="AG118" i="47" s="1"/>
  <c r="AK225" i="58"/>
  <c r="AK263" i="58" s="1"/>
  <c r="AH126" i="47" s="1"/>
  <c r="AK220" i="58"/>
  <c r="AO24" i="58"/>
  <c r="AK221" i="58"/>
  <c r="AK259" i="58" s="1"/>
  <c r="AH120" i="47" s="1"/>
  <c r="AK227" i="58"/>
  <c r="AK265" i="58" s="1"/>
  <c r="AH125" i="47" s="1"/>
  <c r="AN35" i="58"/>
  <c r="AN155" i="58"/>
  <c r="AN156" i="58"/>
  <c r="AN159" i="58"/>
  <c r="AN158" i="58"/>
  <c r="AN154" i="58"/>
  <c r="AN152" i="58"/>
  <c r="AN151" i="58"/>
  <c r="AN153" i="58"/>
  <c r="AN157" i="58"/>
  <c r="AK224" i="58"/>
  <c r="AK262" i="58" s="1"/>
  <c r="AH124" i="47" s="1"/>
  <c r="AK223" i="58"/>
  <c r="AK261" i="58" s="1"/>
  <c r="AH122" i="47" s="1"/>
  <c r="AK226" i="58"/>
  <c r="AK264" i="58" s="1"/>
  <c r="AH119" i="47" s="1"/>
  <c r="AK222" i="58"/>
  <c r="AK260" i="58" s="1"/>
  <c r="AH121" i="47" s="1"/>
  <c r="AP23" i="58"/>
  <c r="AK228" i="58"/>
  <c r="AK266" i="58" s="1"/>
  <c r="AH123" i="47" s="1"/>
  <c r="AO31" i="58"/>
  <c r="AO34" i="58" s="1"/>
  <c r="AQ77" i="56"/>
  <c r="AR77" i="56"/>
  <c r="AD183" i="56"/>
  <c r="AE183" i="56" s="1"/>
  <c r="AF183" i="56" s="1"/>
  <c r="AG183" i="56" s="1"/>
  <c r="AH183" i="56" s="1"/>
  <c r="AI183" i="56" s="1"/>
  <c r="AJ183" i="56" s="1"/>
  <c r="AK183" i="56" s="1"/>
  <c r="AL183" i="56" s="1"/>
  <c r="AD185" i="56"/>
  <c r="AE185" i="56" s="1"/>
  <c r="AF185" i="56" s="1"/>
  <c r="AG185" i="56" s="1"/>
  <c r="AH185" i="56" s="1"/>
  <c r="AI185" i="56" s="1"/>
  <c r="AJ185" i="56" s="1"/>
  <c r="AK185" i="56" s="1"/>
  <c r="AL185" i="56" s="1"/>
  <c r="AD180" i="56"/>
  <c r="AE180" i="56" s="1"/>
  <c r="AF180" i="56" s="1"/>
  <c r="AG180" i="56" s="1"/>
  <c r="AH180" i="56" s="1"/>
  <c r="AI180" i="56" s="1"/>
  <c r="AJ180" i="56" s="1"/>
  <c r="AK180" i="56" s="1"/>
  <c r="AL180" i="56" s="1"/>
  <c r="T111" i="56"/>
  <c r="AD184" i="56"/>
  <c r="AE184" i="56" s="1"/>
  <c r="AF184" i="56" s="1"/>
  <c r="AG184" i="56" s="1"/>
  <c r="AH184" i="56" s="1"/>
  <c r="AI184" i="56" s="1"/>
  <c r="AJ184" i="56" s="1"/>
  <c r="AK184" i="56" s="1"/>
  <c r="AL184" i="56" s="1"/>
  <c r="AD181" i="56"/>
  <c r="AE181" i="56" s="1"/>
  <c r="AF181" i="56" s="1"/>
  <c r="AG181" i="56" s="1"/>
  <c r="AH181" i="56" s="1"/>
  <c r="AI181" i="56" s="1"/>
  <c r="AJ181" i="56" s="1"/>
  <c r="AK181" i="56" s="1"/>
  <c r="AL181" i="56" s="1"/>
  <c r="AD48" i="29"/>
  <c r="AA84" i="47" s="1"/>
  <c r="AD50" i="29"/>
  <c r="AA86" i="47" s="1"/>
  <c r="AB108" i="47"/>
  <c r="AF51" i="29"/>
  <c r="AD49" i="29"/>
  <c r="AI84" i="47"/>
  <c r="AD179" i="56"/>
  <c r="AE179" i="56" s="1"/>
  <c r="AF179" i="56" s="1"/>
  <c r="AG179" i="56" s="1"/>
  <c r="AH179" i="56" s="1"/>
  <c r="AI179" i="56" s="1"/>
  <c r="AJ179" i="56" s="1"/>
  <c r="AK179" i="56" s="1"/>
  <c r="AL179" i="56" s="1"/>
  <c r="AD178" i="56"/>
  <c r="AE178" i="56" s="1"/>
  <c r="AF178" i="56" s="1"/>
  <c r="AG178" i="56" s="1"/>
  <c r="AH178" i="56" s="1"/>
  <c r="AI178" i="56" s="1"/>
  <c r="AJ178" i="56" s="1"/>
  <c r="AK178" i="56" s="1"/>
  <c r="AL178" i="56" s="1"/>
  <c r="AD176" i="56"/>
  <c r="AE176" i="56" s="1"/>
  <c r="AF176" i="56" s="1"/>
  <c r="AG176" i="56" s="1"/>
  <c r="AH176" i="56" s="1"/>
  <c r="AI176" i="56" s="1"/>
  <c r="AJ176" i="56" s="1"/>
  <c r="AK176" i="56" s="1"/>
  <c r="AL176" i="56" s="1"/>
  <c r="AD182" i="56"/>
  <c r="AE182" i="56" s="1"/>
  <c r="AF182" i="56" s="1"/>
  <c r="AG182" i="56" s="1"/>
  <c r="AH182" i="56" s="1"/>
  <c r="AI182" i="56" s="1"/>
  <c r="AJ182" i="56" s="1"/>
  <c r="AK182" i="56" s="1"/>
  <c r="AL182" i="56" s="1"/>
  <c r="S118" i="56"/>
  <c r="P144" i="56" s="1"/>
  <c r="M94" i="47" s="1"/>
  <c r="S115" i="56"/>
  <c r="P141" i="56" s="1"/>
  <c r="M91" i="47" s="1"/>
  <c r="S116" i="56"/>
  <c r="P142" i="56" s="1"/>
  <c r="M92" i="47" s="1"/>
  <c r="S114" i="56"/>
  <c r="P140" i="56" s="1"/>
  <c r="M90" i="47" s="1"/>
  <c r="S113" i="56"/>
  <c r="P139" i="56" s="1"/>
  <c r="M89" i="47" s="1"/>
  <c r="S120" i="56"/>
  <c r="P146" i="56" s="1"/>
  <c r="M96" i="47" s="1"/>
  <c r="S119" i="56"/>
  <c r="P145" i="56" s="1"/>
  <c r="M95" i="47" s="1"/>
  <c r="S121" i="56"/>
  <c r="P147" i="56" s="1"/>
  <c r="M97" i="47" s="1"/>
  <c r="S117" i="56"/>
  <c r="P143" i="56" s="1"/>
  <c r="M93" i="47" s="1"/>
  <c r="M98" i="56"/>
  <c r="R127" i="47"/>
  <c r="V28" i="55"/>
  <c r="M95" i="56"/>
  <c r="M100" i="56"/>
  <c r="M94" i="56"/>
  <c r="T31" i="55"/>
  <c r="P129" i="47"/>
  <c r="N48" i="56"/>
  <c r="N51" i="56"/>
  <c r="AN178" i="56" s="1"/>
  <c r="N59" i="56"/>
  <c r="N52" i="56"/>
  <c r="AN179" i="56" s="1"/>
  <c r="N53" i="56"/>
  <c r="N56" i="56"/>
  <c r="AN183" i="56" s="1"/>
  <c r="N58" i="56"/>
  <c r="AN185" i="56" s="1"/>
  <c r="AO185" i="56" s="1"/>
  <c r="AP185" i="56" s="1"/>
  <c r="AQ185" i="56" s="1"/>
  <c r="N54" i="56"/>
  <c r="N57" i="56"/>
  <c r="AN184" i="56" s="1"/>
  <c r="AO184" i="56" s="1"/>
  <c r="AP184" i="56" s="1"/>
  <c r="AQ184" i="56" s="1"/>
  <c r="N55" i="56"/>
  <c r="T36" i="55"/>
  <c r="P133" i="47"/>
  <c r="P135" i="47"/>
  <c r="T27" i="55"/>
  <c r="M92" i="56"/>
  <c r="N43" i="56"/>
  <c r="U32" i="55"/>
  <c r="Q131" i="47"/>
  <c r="U33" i="55"/>
  <c r="Q130" i="47"/>
  <c r="M102" i="56"/>
  <c r="M86" i="56"/>
  <c r="AS78" i="56" s="1"/>
  <c r="M88" i="56"/>
  <c r="N104" i="56"/>
  <c r="M97" i="56"/>
  <c r="T53" i="56"/>
  <c r="T80" i="56" s="1"/>
  <c r="T96" i="56" s="1"/>
  <c r="T58" i="56"/>
  <c r="T85" i="56" s="1"/>
  <c r="T101" i="56" s="1"/>
  <c r="T54" i="56"/>
  <c r="T81" i="56" s="1"/>
  <c r="T97" i="56" s="1"/>
  <c r="T56" i="56"/>
  <c r="T83" i="56" s="1"/>
  <c r="T99" i="56" s="1"/>
  <c r="T55" i="56"/>
  <c r="T82" i="56" s="1"/>
  <c r="T98" i="56" s="1"/>
  <c r="T52" i="56"/>
  <c r="T79" i="56" s="1"/>
  <c r="T95" i="56" s="1"/>
  <c r="T59" i="56"/>
  <c r="T51" i="56"/>
  <c r="T78" i="56" s="1"/>
  <c r="T94" i="56" s="1"/>
  <c r="T57" i="56"/>
  <c r="T84" i="56" s="1"/>
  <c r="T100" i="56" s="1"/>
  <c r="U34" i="55"/>
  <c r="Q128" i="47"/>
  <c r="M99" i="56"/>
  <c r="AB60" i="56"/>
  <c r="M96" i="56"/>
  <c r="U37" i="55"/>
  <c r="Q134" i="47"/>
  <c r="AB43" i="56"/>
  <c r="AB76" i="56" s="1"/>
  <c r="AB92" i="56" s="1"/>
  <c r="M101" i="56"/>
  <c r="AF7" i="47"/>
  <c r="AJ26" i="35"/>
  <c r="AJ24" i="35"/>
  <c r="AF9" i="47"/>
  <c r="AK25" i="35"/>
  <c r="AG6" i="47"/>
  <c r="AJ22" i="35"/>
  <c r="AF5" i="47"/>
  <c r="AF8" i="47"/>
  <c r="AJ23" i="35"/>
  <c r="R111" i="57" l="1"/>
  <c r="AA111" i="57" s="1"/>
  <c r="I111" i="57" s="1"/>
  <c r="AA110" i="57"/>
  <c r="I110" i="57" s="1"/>
  <c r="K49" i="57"/>
  <c r="U49" i="57" s="1"/>
  <c r="U50" i="57" s="1"/>
  <c r="T57" i="57"/>
  <c r="T50" i="57"/>
  <c r="J57" i="57"/>
  <c r="S58" i="57"/>
  <c r="S61" i="57" s="1"/>
  <c r="S110" i="57"/>
  <c r="AB50" i="57"/>
  <c r="S51" i="57"/>
  <c r="AB51" i="57" s="1"/>
  <c r="J51" i="57" s="1"/>
  <c r="J50" i="57"/>
  <c r="AB58" i="57"/>
  <c r="AB59" i="57" s="1"/>
  <c r="AB60" i="57" s="1"/>
  <c r="AA58" i="57"/>
  <c r="AA59" i="57" s="1"/>
  <c r="AA60" i="57" s="1"/>
  <c r="AL205" i="58"/>
  <c r="V92" i="56"/>
  <c r="T86" i="56"/>
  <c r="AL78" i="56" s="1"/>
  <c r="R59" i="57"/>
  <c r="AM43" i="58"/>
  <c r="AM49" i="58" s="1"/>
  <c r="AD49" i="57"/>
  <c r="L49" i="57" s="1"/>
  <c r="R61" i="57"/>
  <c r="AM46" i="58"/>
  <c r="AM52" i="58" s="1"/>
  <c r="AM44" i="58"/>
  <c r="AM50" i="58" s="1"/>
  <c r="AM191" i="58" s="1"/>
  <c r="N99" i="47"/>
  <c r="Q137" i="56"/>
  <c r="N87" i="47" s="1"/>
  <c r="U111" i="56"/>
  <c r="R149" i="56"/>
  <c r="V123" i="56"/>
  <c r="AL190" i="58"/>
  <c r="AL186" i="58"/>
  <c r="AL187" i="58"/>
  <c r="AL193" i="58"/>
  <c r="AL189" i="58"/>
  <c r="AL200" i="58"/>
  <c r="AL204" i="58"/>
  <c r="AL198" i="58"/>
  <c r="AL202" i="58"/>
  <c r="AL197" i="58"/>
  <c r="AM51" i="58"/>
  <c r="AM202" i="58" s="1"/>
  <c r="AL181" i="58"/>
  <c r="AL240" i="58" s="1"/>
  <c r="AL255" i="58" s="1"/>
  <c r="AI116" i="47" s="1"/>
  <c r="AL201" i="58"/>
  <c r="AL188" i="58"/>
  <c r="AL199" i="58"/>
  <c r="AL209" i="58"/>
  <c r="AL213" i="58"/>
  <c r="AL182" i="58"/>
  <c r="AL241" i="58" s="1"/>
  <c r="AL256" i="58" s="1"/>
  <c r="AI114" i="47" s="1"/>
  <c r="AL192" i="58"/>
  <c r="AL175" i="58"/>
  <c r="AL234" i="58" s="1"/>
  <c r="AL249" i="58" s="1"/>
  <c r="AI111" i="47" s="1"/>
  <c r="AL191" i="58"/>
  <c r="AL178" i="58"/>
  <c r="AL237" i="58" s="1"/>
  <c r="AL252" i="58" s="1"/>
  <c r="AI115" i="47" s="1"/>
  <c r="AL177" i="58"/>
  <c r="AL236" i="58" s="1"/>
  <c r="AL251" i="58" s="1"/>
  <c r="AI113" i="47" s="1"/>
  <c r="AL174" i="58"/>
  <c r="AL233" i="58" s="1"/>
  <c r="AL248" i="58" s="1"/>
  <c r="AI109" i="47" s="1"/>
  <c r="AL176" i="58"/>
  <c r="AL235" i="58" s="1"/>
  <c r="AL250" i="58" s="1"/>
  <c r="AI112" i="47" s="1"/>
  <c r="AL179" i="58"/>
  <c r="AL238" i="58" s="1"/>
  <c r="AL253" i="58" s="1"/>
  <c r="AI117" i="47" s="1"/>
  <c r="AL53" i="58"/>
  <c r="AL212" i="58"/>
  <c r="AL214" i="58"/>
  <c r="AL215" i="58"/>
  <c r="AL211" i="58"/>
  <c r="AL216" i="58"/>
  <c r="AL228" i="58" s="1"/>
  <c r="AL266" i="58" s="1"/>
  <c r="AI123" i="47" s="1"/>
  <c r="AL208" i="58"/>
  <c r="AN163" i="58"/>
  <c r="AN167" i="58"/>
  <c r="AN168" i="58"/>
  <c r="AN170" i="58"/>
  <c r="AN162" i="58"/>
  <c r="AN165" i="58"/>
  <c r="AN169" i="58"/>
  <c r="AN164" i="58"/>
  <c r="AN166" i="58"/>
  <c r="AN36" i="58"/>
  <c r="AN41" i="58" s="1"/>
  <c r="AO35" i="58"/>
  <c r="AO156" i="58"/>
  <c r="AO155" i="58"/>
  <c r="AO159" i="58"/>
  <c r="AO153" i="58"/>
  <c r="AO151" i="58"/>
  <c r="AO154" i="58"/>
  <c r="AO152" i="58"/>
  <c r="AO158" i="58"/>
  <c r="AO157" i="58"/>
  <c r="AM205" i="58"/>
  <c r="AP24" i="58"/>
  <c r="AK245" i="58"/>
  <c r="AK258" i="58"/>
  <c r="AH118" i="47" s="1"/>
  <c r="AQ23" i="58"/>
  <c r="AP31" i="58"/>
  <c r="AP34" i="58" s="1"/>
  <c r="AK77" i="56"/>
  <c r="AK80" i="56" s="1"/>
  <c r="AK81" i="56" s="1"/>
  <c r="AN181" i="56"/>
  <c r="AO181" i="56" s="1"/>
  <c r="AP181" i="56" s="1"/>
  <c r="AQ181" i="56" s="1"/>
  <c r="M78" i="56"/>
  <c r="M83" i="56"/>
  <c r="M84" i="56"/>
  <c r="M80" i="56"/>
  <c r="M82" i="56"/>
  <c r="M85" i="56"/>
  <c r="M79" i="56"/>
  <c r="M81" i="56"/>
  <c r="M76" i="56"/>
  <c r="AO183" i="56"/>
  <c r="AP183" i="56" s="1"/>
  <c r="AQ183" i="56" s="1"/>
  <c r="AN180" i="56"/>
  <c r="AO180" i="56" s="1"/>
  <c r="AP180" i="56" s="1"/>
  <c r="AQ180" i="56" s="1"/>
  <c r="AO179" i="56"/>
  <c r="AP179" i="56" s="1"/>
  <c r="AQ179" i="56" s="1"/>
  <c r="T120" i="56"/>
  <c r="T117" i="56"/>
  <c r="AN176" i="56"/>
  <c r="AO176" i="56" s="1"/>
  <c r="AP176" i="56" s="1"/>
  <c r="AQ176" i="56" s="1"/>
  <c r="T119" i="56"/>
  <c r="AN182" i="56"/>
  <c r="AO182" i="56" s="1"/>
  <c r="AP182" i="56" s="1"/>
  <c r="AQ182" i="56" s="1"/>
  <c r="T118" i="56"/>
  <c r="AE48" i="29"/>
  <c r="AB84" i="47" s="1"/>
  <c r="AE50" i="29"/>
  <c r="AB86" i="47" s="1"/>
  <c r="AO178" i="56"/>
  <c r="AP178" i="56" s="1"/>
  <c r="AQ178" i="56" s="1"/>
  <c r="T121" i="56"/>
  <c r="AC108" i="47"/>
  <c r="AG51" i="29"/>
  <c r="AA85" i="47"/>
  <c r="AE49" i="29"/>
  <c r="T116" i="56"/>
  <c r="T115" i="56"/>
  <c r="T113" i="56"/>
  <c r="Q186" i="56"/>
  <c r="T114" i="56"/>
  <c r="U53" i="56"/>
  <c r="U80" i="56" s="1"/>
  <c r="U96" i="56" s="1"/>
  <c r="U55" i="56"/>
  <c r="U82" i="56" s="1"/>
  <c r="U98" i="56" s="1"/>
  <c r="U54" i="56"/>
  <c r="U81" i="56" s="1"/>
  <c r="U97" i="56" s="1"/>
  <c r="U57" i="56"/>
  <c r="U84" i="56" s="1"/>
  <c r="U100" i="56" s="1"/>
  <c r="U59" i="56"/>
  <c r="U51" i="56"/>
  <c r="U78" i="56" s="1"/>
  <c r="U94" i="56" s="1"/>
  <c r="U58" i="56"/>
  <c r="U85" i="56" s="1"/>
  <c r="U101" i="56" s="1"/>
  <c r="U56" i="56"/>
  <c r="U83" i="56" s="1"/>
  <c r="U99" i="56" s="1"/>
  <c r="U52" i="56"/>
  <c r="U79" i="56" s="1"/>
  <c r="U95" i="56" s="1"/>
  <c r="Q129" i="47"/>
  <c r="U31" i="55"/>
  <c r="AC43" i="56"/>
  <c r="U36" i="55"/>
  <c r="Q133" i="47"/>
  <c r="N94" i="56"/>
  <c r="N88" i="56"/>
  <c r="N98" i="56"/>
  <c r="AC51" i="57"/>
  <c r="AC110" i="57"/>
  <c r="R131" i="47"/>
  <c r="V32" i="55"/>
  <c r="U27" i="55"/>
  <c r="Q135" i="47"/>
  <c r="N100" i="56"/>
  <c r="V37" i="55"/>
  <c r="R134" i="47"/>
  <c r="N97" i="56"/>
  <c r="V33" i="55"/>
  <c r="R130" i="47"/>
  <c r="N101" i="56"/>
  <c r="N85" i="56" s="1"/>
  <c r="W28" i="55"/>
  <c r="S127" i="47"/>
  <c r="N92" i="56"/>
  <c r="N99" i="56"/>
  <c r="R128" i="47"/>
  <c r="V34" i="55"/>
  <c r="N96" i="56"/>
  <c r="N95" i="56"/>
  <c r="AB53" i="56"/>
  <c r="AB80" i="56" s="1"/>
  <c r="AB96" i="56" s="1"/>
  <c r="AB57" i="56"/>
  <c r="AB84" i="56" s="1"/>
  <c r="AB100" i="56" s="1"/>
  <c r="AB55" i="56"/>
  <c r="AB82" i="56" s="1"/>
  <c r="AB98" i="56" s="1"/>
  <c r="AB59" i="56"/>
  <c r="AB86" i="56" s="1"/>
  <c r="AB51" i="56"/>
  <c r="AB78" i="56" s="1"/>
  <c r="AB94" i="56" s="1"/>
  <c r="AB56" i="56"/>
  <c r="AB83" i="56" s="1"/>
  <c r="AB99" i="56" s="1"/>
  <c r="AB54" i="56"/>
  <c r="AB81" i="56" s="1"/>
  <c r="AB97" i="56" s="1"/>
  <c r="AB58" i="56"/>
  <c r="AB85" i="56" s="1"/>
  <c r="AB101" i="56" s="1"/>
  <c r="AB52" i="56"/>
  <c r="AB79" i="56" s="1"/>
  <c r="AB95" i="56" s="1"/>
  <c r="AC60" i="56"/>
  <c r="N102" i="56"/>
  <c r="N86" i="56"/>
  <c r="AT78" i="56" s="1"/>
  <c r="AG9" i="47"/>
  <c r="AK24" i="35"/>
  <c r="AH6" i="47"/>
  <c r="AL25" i="35"/>
  <c r="AK26" i="35"/>
  <c r="AG7" i="47"/>
  <c r="AK23" i="35"/>
  <c r="AG8" i="47"/>
  <c r="AK22" i="35"/>
  <c r="AG5" i="47"/>
  <c r="I58" i="57" l="1"/>
  <c r="AB61" i="57"/>
  <c r="AD57" i="57"/>
  <c r="AB110" i="57"/>
  <c r="J110" i="57" s="1"/>
  <c r="S111" i="57"/>
  <c r="AB111" i="57" s="1"/>
  <c r="J111" i="57" s="1"/>
  <c r="J58" i="57"/>
  <c r="S59" i="57"/>
  <c r="T51" i="57"/>
  <c r="K51" i="57" s="1"/>
  <c r="T110" i="57"/>
  <c r="T111" i="57" s="1"/>
  <c r="AA61" i="57"/>
  <c r="K57" i="57"/>
  <c r="T58" i="57"/>
  <c r="T59" i="57" s="1"/>
  <c r="T60" i="57" s="1"/>
  <c r="U110" i="57"/>
  <c r="U111" i="57" s="1"/>
  <c r="U51" i="57"/>
  <c r="K50" i="57"/>
  <c r="U57" i="57"/>
  <c r="AD50" i="57"/>
  <c r="L50" i="57" s="1"/>
  <c r="AM174" i="58"/>
  <c r="AM233" i="58" s="1"/>
  <c r="AM181" i="58"/>
  <c r="AM240" i="58" s="1"/>
  <c r="AM194" i="58"/>
  <c r="AM186" i="58"/>
  <c r="AM189" i="58"/>
  <c r="AM193" i="58"/>
  <c r="AM188" i="58"/>
  <c r="AM190" i="58"/>
  <c r="U86" i="56"/>
  <c r="AM78" i="56" s="1"/>
  <c r="AL223" i="58"/>
  <c r="AL261" i="58" s="1"/>
  <c r="AI122" i="47" s="1"/>
  <c r="AD43" i="56"/>
  <c r="AD76" i="56" s="1"/>
  <c r="AC76" i="56"/>
  <c r="AC92" i="56" s="1"/>
  <c r="L57" i="57"/>
  <c r="R60" i="57"/>
  <c r="I59" i="57"/>
  <c r="I60" i="57" s="1"/>
  <c r="AE49" i="57"/>
  <c r="V49" i="57"/>
  <c r="AL226" i="58"/>
  <c r="AL264" i="58" s="1"/>
  <c r="AI119" i="47" s="1"/>
  <c r="AL222" i="58"/>
  <c r="AL260" i="58" s="1"/>
  <c r="AI121" i="47" s="1"/>
  <c r="AM187" i="58"/>
  <c r="AM182" i="58"/>
  <c r="AM241" i="58" s="1"/>
  <c r="AM208" i="58"/>
  <c r="AM213" i="58"/>
  <c r="AM225" i="58" s="1"/>
  <c r="AM216" i="58"/>
  <c r="AM228" i="58" s="1"/>
  <c r="AM212" i="58"/>
  <c r="AM210" i="58"/>
  <c r="AM215" i="58"/>
  <c r="AM214" i="58"/>
  <c r="AM209" i="58"/>
  <c r="AM211" i="58"/>
  <c r="AM192" i="58"/>
  <c r="AL220" i="58"/>
  <c r="AL258" i="58" s="1"/>
  <c r="AI118" i="47" s="1"/>
  <c r="AM178" i="58"/>
  <c r="AM237" i="58" s="1"/>
  <c r="AL227" i="58"/>
  <c r="AL265" i="58" s="1"/>
  <c r="AI125" i="47" s="1"/>
  <c r="AM175" i="58"/>
  <c r="AM234" i="58" s="1"/>
  <c r="AM176" i="58"/>
  <c r="AM235" i="58" s="1"/>
  <c r="AL224" i="58"/>
  <c r="AL262" i="58" s="1"/>
  <c r="AI124" i="47" s="1"/>
  <c r="U58" i="57"/>
  <c r="U59" i="57" s="1"/>
  <c r="U60" i="57" s="1"/>
  <c r="Q147" i="56"/>
  <c r="N97" i="47" s="1"/>
  <c r="U121" i="56"/>
  <c r="Q139" i="56"/>
  <c r="N89" i="47" s="1"/>
  <c r="U113" i="56"/>
  <c r="Q146" i="56"/>
  <c r="N96" i="47" s="1"/>
  <c r="U120" i="56"/>
  <c r="Q141" i="56"/>
  <c r="N91" i="47" s="1"/>
  <c r="U115" i="56"/>
  <c r="Q143" i="56"/>
  <c r="N93" i="47" s="1"/>
  <c r="U117" i="56"/>
  <c r="S149" i="56"/>
  <c r="W123" i="56"/>
  <c r="Q142" i="56"/>
  <c r="N92" i="47" s="1"/>
  <c r="U116" i="56"/>
  <c r="S188" i="56"/>
  <c r="O99" i="47"/>
  <c r="Q144" i="56"/>
  <c r="N94" i="47" s="1"/>
  <c r="U118" i="56"/>
  <c r="Q140" i="56"/>
  <c r="N90" i="47" s="1"/>
  <c r="U114" i="56"/>
  <c r="Q145" i="56"/>
  <c r="N95" i="47" s="1"/>
  <c r="U119" i="56"/>
  <c r="R137" i="56"/>
  <c r="O87" i="47" s="1"/>
  <c r="V111" i="56"/>
  <c r="AL221" i="58"/>
  <c r="AL259" i="58" s="1"/>
  <c r="AI120" i="47" s="1"/>
  <c r="AM177" i="58"/>
  <c r="AM236" i="58" s="1"/>
  <c r="AM204" i="58"/>
  <c r="AM203" i="58"/>
  <c r="AM200" i="58"/>
  <c r="AM198" i="58"/>
  <c r="AM199" i="58"/>
  <c r="AM201" i="58"/>
  <c r="AM53" i="58"/>
  <c r="AM197" i="58"/>
  <c r="AM180" i="58"/>
  <c r="AM239" i="58" s="1"/>
  <c r="AM179" i="58"/>
  <c r="AM238" i="58" s="1"/>
  <c r="AL225" i="58"/>
  <c r="AL263" i="58" s="1"/>
  <c r="AI126" i="47" s="1"/>
  <c r="AN45" i="58"/>
  <c r="AN51" i="58" s="1"/>
  <c r="AN46" i="58"/>
  <c r="AN52" i="58" s="1"/>
  <c r="AN44" i="58"/>
  <c r="AN50" i="58" s="1"/>
  <c r="AN43" i="58"/>
  <c r="AN49" i="58" s="1"/>
  <c r="AQ31" i="58"/>
  <c r="AQ34" i="58" s="1"/>
  <c r="AR23" i="58"/>
  <c r="AO169" i="58"/>
  <c r="AO168" i="58"/>
  <c r="AO162" i="58"/>
  <c r="AO164" i="58"/>
  <c r="AO170" i="58"/>
  <c r="AO166" i="58"/>
  <c r="AO165" i="58"/>
  <c r="AO163" i="58"/>
  <c r="AO167" i="58"/>
  <c r="AO36" i="58"/>
  <c r="AO41" i="58" s="1"/>
  <c r="AP35" i="58"/>
  <c r="AP155" i="58"/>
  <c r="AP159" i="58"/>
  <c r="AP156" i="58"/>
  <c r="AP157" i="58"/>
  <c r="AP152" i="58"/>
  <c r="AP151" i="58"/>
  <c r="AP153" i="58"/>
  <c r="AP154" i="58"/>
  <c r="AP158" i="58"/>
  <c r="AQ24" i="58"/>
  <c r="AS77" i="56"/>
  <c r="N83" i="56"/>
  <c r="N82" i="56"/>
  <c r="N81" i="56"/>
  <c r="N79" i="56"/>
  <c r="N78" i="56"/>
  <c r="N84" i="56"/>
  <c r="N76" i="56"/>
  <c r="N80" i="56"/>
  <c r="AF48" i="29"/>
  <c r="AG48" i="29" s="1"/>
  <c r="AF50" i="29"/>
  <c r="AC86" i="47" s="1"/>
  <c r="AD108" i="47"/>
  <c r="AH51" i="29"/>
  <c r="AB85" i="47"/>
  <c r="AF49" i="29"/>
  <c r="AL77" i="56"/>
  <c r="AL80" i="56" s="1"/>
  <c r="AL81" i="56" s="1"/>
  <c r="X28" i="55"/>
  <c r="T127" i="47"/>
  <c r="S128" i="47"/>
  <c r="W34" i="55"/>
  <c r="V27" i="55"/>
  <c r="R135" i="47"/>
  <c r="AC52" i="56"/>
  <c r="AC79" i="56" s="1"/>
  <c r="AC95" i="56" s="1"/>
  <c r="AC55" i="56"/>
  <c r="AC82" i="56" s="1"/>
  <c r="AC98" i="56" s="1"/>
  <c r="AC59" i="56"/>
  <c r="AC86" i="56" s="1"/>
  <c r="AC51" i="56"/>
  <c r="AC78" i="56" s="1"/>
  <c r="AC94" i="56" s="1"/>
  <c r="AC57" i="56"/>
  <c r="AC84" i="56" s="1"/>
  <c r="AC100" i="56" s="1"/>
  <c r="AC56" i="56"/>
  <c r="AC83" i="56" s="1"/>
  <c r="AC99" i="56" s="1"/>
  <c r="AC54" i="56"/>
  <c r="AC81" i="56" s="1"/>
  <c r="AC97" i="56" s="1"/>
  <c r="AC53" i="56"/>
  <c r="AC80" i="56" s="1"/>
  <c r="AC96" i="56" s="1"/>
  <c r="AC58" i="56"/>
  <c r="AC85" i="56" s="1"/>
  <c r="AC101" i="56" s="1"/>
  <c r="AD60" i="56"/>
  <c r="W32" i="55"/>
  <c r="S131" i="47"/>
  <c r="V57" i="56"/>
  <c r="V84" i="56" s="1"/>
  <c r="V100" i="56" s="1"/>
  <c r="V55" i="56"/>
  <c r="V82" i="56" s="1"/>
  <c r="V98" i="56" s="1"/>
  <c r="V59" i="56"/>
  <c r="V51" i="56"/>
  <c r="V78" i="56" s="1"/>
  <c r="V94" i="56" s="1"/>
  <c r="V53" i="56"/>
  <c r="V80" i="56" s="1"/>
  <c r="V96" i="56" s="1"/>
  <c r="V52" i="56"/>
  <c r="V79" i="56" s="1"/>
  <c r="V95" i="56" s="1"/>
  <c r="V56" i="56"/>
  <c r="V83" i="56" s="1"/>
  <c r="V99" i="56" s="1"/>
  <c r="V54" i="56"/>
  <c r="V81" i="56" s="1"/>
  <c r="V97" i="56" s="1"/>
  <c r="V58" i="56"/>
  <c r="V85" i="56" s="1"/>
  <c r="V101" i="56" s="1"/>
  <c r="W37" i="55"/>
  <c r="S134" i="47"/>
  <c r="V31" i="55"/>
  <c r="R129" i="47"/>
  <c r="W33" i="55"/>
  <c r="S130" i="47"/>
  <c r="AD110" i="57"/>
  <c r="L110" i="57" s="1"/>
  <c r="AD51" i="57"/>
  <c r="L51" i="57" s="1"/>
  <c r="V36" i="55"/>
  <c r="R133" i="47"/>
  <c r="AQ80" i="56"/>
  <c r="AQ81" i="56" s="1"/>
  <c r="AL22" i="35"/>
  <c r="AH5" i="47"/>
  <c r="AH8" i="47"/>
  <c r="AL23" i="35"/>
  <c r="AI6" i="47"/>
  <c r="AM25" i="35"/>
  <c r="AH9" i="47"/>
  <c r="AL24" i="35"/>
  <c r="AL26" i="35"/>
  <c r="AH7" i="47"/>
  <c r="K110" i="57" l="1"/>
  <c r="S60" i="57"/>
  <c r="J59" i="57"/>
  <c r="J60" i="57" s="1"/>
  <c r="T61" i="57"/>
  <c r="AM223" i="58"/>
  <c r="AM220" i="58"/>
  <c r="AM222" i="58"/>
  <c r="AM224" i="58"/>
  <c r="V86" i="56"/>
  <c r="AN78" i="56" s="1"/>
  <c r="AD92" i="56"/>
  <c r="M49" i="57"/>
  <c r="V50" i="57"/>
  <c r="V110" i="57" s="1"/>
  <c r="V57" i="57"/>
  <c r="AE57" i="57"/>
  <c r="AE50" i="57"/>
  <c r="AM227" i="58"/>
  <c r="AM221" i="58"/>
  <c r="AM226" i="58"/>
  <c r="U61" i="57"/>
  <c r="R186" i="56"/>
  <c r="R144" i="56"/>
  <c r="O94" i="47" s="1"/>
  <c r="V118" i="56"/>
  <c r="R142" i="56"/>
  <c r="O92" i="47" s="1"/>
  <c r="V116" i="56"/>
  <c r="S137" i="56"/>
  <c r="P87" i="47" s="1"/>
  <c r="W111" i="56"/>
  <c r="T149" i="56"/>
  <c r="X123" i="56"/>
  <c r="R146" i="56"/>
  <c r="O96" i="47" s="1"/>
  <c r="V120" i="56"/>
  <c r="T188" i="56"/>
  <c r="P99" i="47"/>
  <c r="R145" i="56"/>
  <c r="O95" i="47" s="1"/>
  <c r="V119" i="56"/>
  <c r="R143" i="56"/>
  <c r="O93" i="47" s="1"/>
  <c r="V117" i="56"/>
  <c r="R139" i="56"/>
  <c r="O89" i="47" s="1"/>
  <c r="V113" i="56"/>
  <c r="R140" i="56"/>
  <c r="O90" i="47" s="1"/>
  <c r="V114" i="56"/>
  <c r="R147" i="56"/>
  <c r="V121" i="56"/>
  <c r="R141" i="56"/>
  <c r="O91" i="47" s="1"/>
  <c r="V115" i="56"/>
  <c r="AL245" i="58"/>
  <c r="AR24" i="58"/>
  <c r="AP169" i="58"/>
  <c r="AP164" i="58"/>
  <c r="AP165" i="58"/>
  <c r="AP167" i="58"/>
  <c r="AP162" i="58"/>
  <c r="AP163" i="58"/>
  <c r="AP166" i="58"/>
  <c r="AP170" i="58"/>
  <c r="AP168" i="58"/>
  <c r="AP36" i="58"/>
  <c r="AP41" i="58" s="1"/>
  <c r="AR31" i="58"/>
  <c r="AR34" i="58" s="1"/>
  <c r="AS23" i="58"/>
  <c r="AO45" i="58"/>
  <c r="AO51" i="58" s="1"/>
  <c r="AO44" i="58"/>
  <c r="AO50" i="58" s="1"/>
  <c r="AO46" i="58"/>
  <c r="AO52" i="58" s="1"/>
  <c r="AO43" i="58"/>
  <c r="AO49" i="58" s="1"/>
  <c r="AQ35" i="58"/>
  <c r="AQ156" i="58"/>
  <c r="AQ155" i="58"/>
  <c r="AQ159" i="58"/>
  <c r="AQ151" i="58"/>
  <c r="AQ154" i="58"/>
  <c r="AQ152" i="58"/>
  <c r="AQ158" i="58"/>
  <c r="AQ153" i="58"/>
  <c r="AQ157" i="58"/>
  <c r="AN178" i="58"/>
  <c r="AN237" i="58" s="1"/>
  <c r="AN176" i="58"/>
  <c r="AN235" i="58" s="1"/>
  <c r="AN53" i="58"/>
  <c r="AN181" i="58"/>
  <c r="AN240" i="58" s="1"/>
  <c r="AN180" i="58"/>
  <c r="AN239" i="58" s="1"/>
  <c r="AN179" i="58"/>
  <c r="AN238" i="58" s="1"/>
  <c r="AN175" i="58"/>
  <c r="AN234" i="58" s="1"/>
  <c r="AN182" i="58"/>
  <c r="AN241" i="58" s="1"/>
  <c r="AN177" i="58"/>
  <c r="AN236" i="58" s="1"/>
  <c r="AN174" i="58"/>
  <c r="AN233" i="58" s="1"/>
  <c r="AN187" i="58"/>
  <c r="AN191" i="58"/>
  <c r="AN188" i="58"/>
  <c r="AN190" i="58"/>
  <c r="AN194" i="58"/>
  <c r="AN186" i="58"/>
  <c r="AN189" i="58"/>
  <c r="AN193" i="58"/>
  <c r="AN192" i="58"/>
  <c r="AN209" i="58"/>
  <c r="AN213" i="58"/>
  <c r="AN212" i="58"/>
  <c r="AN208" i="58"/>
  <c r="AN216" i="58"/>
  <c r="AN210" i="58"/>
  <c r="AN214" i="58"/>
  <c r="AN215" i="58"/>
  <c r="AN211" i="58"/>
  <c r="AN199" i="58"/>
  <c r="AN204" i="58"/>
  <c r="AN202" i="58"/>
  <c r="AN198" i="58"/>
  <c r="AN201" i="58"/>
  <c r="AN205" i="58"/>
  <c r="AN197" i="58"/>
  <c r="AN203" i="58"/>
  <c r="AN200" i="58"/>
  <c r="AC84" i="47"/>
  <c r="AT77" i="56"/>
  <c r="AG50" i="29"/>
  <c r="AD86" i="47" s="1"/>
  <c r="AE108" i="47"/>
  <c r="AI51" i="29"/>
  <c r="AD84" i="47"/>
  <c r="AH48" i="29"/>
  <c r="AC85" i="47"/>
  <c r="AG49" i="29"/>
  <c r="W27" i="55"/>
  <c r="S135" i="47"/>
  <c r="X37" i="55"/>
  <c r="T134" i="47"/>
  <c r="X32" i="55"/>
  <c r="T131" i="47"/>
  <c r="W31" i="55"/>
  <c r="S129" i="47"/>
  <c r="AD57" i="56"/>
  <c r="AD84" i="56" s="1"/>
  <c r="AD100" i="56" s="1"/>
  <c r="AD53" i="56"/>
  <c r="AD80" i="56" s="1"/>
  <c r="AD96" i="56" s="1"/>
  <c r="AD55" i="56"/>
  <c r="AD82" i="56" s="1"/>
  <c r="AD98" i="56" s="1"/>
  <c r="AD56" i="56"/>
  <c r="AD83" i="56" s="1"/>
  <c r="AD99" i="56" s="1"/>
  <c r="AD54" i="56"/>
  <c r="AD81" i="56" s="1"/>
  <c r="AD97" i="56" s="1"/>
  <c r="AD58" i="56"/>
  <c r="AD85" i="56" s="1"/>
  <c r="AD101" i="56" s="1"/>
  <c r="AD52" i="56"/>
  <c r="AD79" i="56" s="1"/>
  <c r="AD95" i="56" s="1"/>
  <c r="AD59" i="56"/>
  <c r="AD86" i="56" s="1"/>
  <c r="AD51" i="56"/>
  <c r="AD78" i="56" s="1"/>
  <c r="AD94" i="56" s="1"/>
  <c r="AR80" i="56"/>
  <c r="AR81" i="56" s="1"/>
  <c r="W36" i="55"/>
  <c r="S133" i="47"/>
  <c r="Y28" i="55"/>
  <c r="U127" i="47"/>
  <c r="AM77" i="56"/>
  <c r="AM80" i="56" s="1"/>
  <c r="AM81" i="56" s="1"/>
  <c r="X34" i="55"/>
  <c r="T128" i="47"/>
  <c r="X33" i="55"/>
  <c r="T130" i="47"/>
  <c r="AM24" i="35"/>
  <c r="AI9" i="47"/>
  <c r="AI7" i="47"/>
  <c r="AM26" i="35"/>
  <c r="AN25" i="35"/>
  <c r="AJ6" i="47"/>
  <c r="AM23" i="35"/>
  <c r="AI8" i="47"/>
  <c r="AM22" i="35"/>
  <c r="AI5" i="47"/>
  <c r="AM245" i="58" l="1"/>
  <c r="M57" i="57"/>
  <c r="V58" i="57"/>
  <c r="V59" i="57" s="1"/>
  <c r="V60" i="57" s="1"/>
  <c r="V162" i="57"/>
  <c r="V51" i="57"/>
  <c r="M50" i="57"/>
  <c r="AE110" i="57"/>
  <c r="M110" i="57" s="1"/>
  <c r="AE51" i="57"/>
  <c r="M51" i="57" s="1"/>
  <c r="V111" i="57"/>
  <c r="Q99" i="47"/>
  <c r="U188" i="56"/>
  <c r="S139" i="56"/>
  <c r="P89" i="47" s="1"/>
  <c r="W113" i="56"/>
  <c r="T137" i="56"/>
  <c r="Q87" i="47" s="1"/>
  <c r="X111" i="56"/>
  <c r="S143" i="56"/>
  <c r="P93" i="47" s="1"/>
  <c r="W117" i="56"/>
  <c r="S142" i="56"/>
  <c r="P92" i="47" s="1"/>
  <c r="W116" i="56"/>
  <c r="S145" i="56"/>
  <c r="P95" i="47" s="1"/>
  <c r="W119" i="56"/>
  <c r="S140" i="56"/>
  <c r="P90" i="47" s="1"/>
  <c r="W114" i="56"/>
  <c r="S141" i="56"/>
  <c r="P91" i="47" s="1"/>
  <c r="W115" i="56"/>
  <c r="S144" i="56"/>
  <c r="P94" i="47" s="1"/>
  <c r="W118" i="56"/>
  <c r="U149" i="56"/>
  <c r="Y123" i="56"/>
  <c r="S147" i="56"/>
  <c r="W121" i="56"/>
  <c r="S146" i="56"/>
  <c r="P96" i="47" s="1"/>
  <c r="W120" i="56"/>
  <c r="S186" i="56"/>
  <c r="O97" i="47"/>
  <c r="AS24" i="58"/>
  <c r="AS31" i="58"/>
  <c r="AS34" i="58" s="1"/>
  <c r="AT23" i="58"/>
  <c r="AR35" i="58"/>
  <c r="AR156" i="58"/>
  <c r="AR155" i="58"/>
  <c r="AR159" i="58"/>
  <c r="AR153" i="58"/>
  <c r="AR152" i="58"/>
  <c r="AR157" i="58"/>
  <c r="AR154" i="58"/>
  <c r="AR158" i="58"/>
  <c r="AR151" i="58"/>
  <c r="AN226" i="58"/>
  <c r="AP44" i="58"/>
  <c r="AP50" i="58" s="1"/>
  <c r="AP46" i="58"/>
  <c r="AP52" i="58" s="1"/>
  <c r="AP43" i="58"/>
  <c r="AP49" i="58" s="1"/>
  <c r="AP45" i="58"/>
  <c r="AP51" i="58" s="1"/>
  <c r="AN227" i="58"/>
  <c r="AN223" i="58"/>
  <c r="AN220" i="58"/>
  <c r="AN228" i="58"/>
  <c r="AQ169" i="58"/>
  <c r="AQ168" i="58"/>
  <c r="AQ164" i="58"/>
  <c r="AQ163" i="58"/>
  <c r="AQ162" i="58"/>
  <c r="AQ165" i="58"/>
  <c r="AQ166" i="58"/>
  <c r="AQ167" i="58"/>
  <c r="AQ170" i="58"/>
  <c r="AQ36" i="58"/>
  <c r="AQ41" i="58" s="1"/>
  <c r="AN224" i="58"/>
  <c r="AO179" i="58"/>
  <c r="AO238" i="58" s="1"/>
  <c r="AO177" i="58"/>
  <c r="AO236" i="58" s="1"/>
  <c r="AO181" i="58"/>
  <c r="AO240" i="58" s="1"/>
  <c r="AO175" i="58"/>
  <c r="AO234" i="58" s="1"/>
  <c r="AO180" i="58"/>
  <c r="AO239" i="58" s="1"/>
  <c r="AO174" i="58"/>
  <c r="AO233" i="58" s="1"/>
  <c r="AO182" i="58"/>
  <c r="AO241" i="58" s="1"/>
  <c r="AO176" i="58"/>
  <c r="AO235" i="58" s="1"/>
  <c r="AO53" i="58"/>
  <c r="AO178" i="58"/>
  <c r="AO237" i="58" s="1"/>
  <c r="AN222" i="58"/>
  <c r="AO211" i="58"/>
  <c r="AO214" i="58"/>
  <c r="AO215" i="58"/>
  <c r="AO212" i="58"/>
  <c r="AO208" i="58"/>
  <c r="AO213" i="58"/>
  <c r="AO216" i="58"/>
  <c r="AO209" i="58"/>
  <c r="AO210" i="58"/>
  <c r="AN225" i="58"/>
  <c r="AO191" i="58"/>
  <c r="AO188" i="58"/>
  <c r="AO186" i="58"/>
  <c r="AO187" i="58"/>
  <c r="AO189" i="58"/>
  <c r="AO193" i="58"/>
  <c r="AO192" i="58"/>
  <c r="AO194" i="58"/>
  <c r="AO190" i="58"/>
  <c r="AN221" i="58"/>
  <c r="AO197" i="58"/>
  <c r="AO200" i="58"/>
  <c r="AO198" i="58"/>
  <c r="AO199" i="58"/>
  <c r="AO201" i="58"/>
  <c r="AO203" i="58"/>
  <c r="AO205" i="58"/>
  <c r="AO202" i="58"/>
  <c r="AO204" i="58"/>
  <c r="AH50" i="29"/>
  <c r="AI50" i="29" s="1"/>
  <c r="AF108" i="47"/>
  <c r="AJ51" i="29"/>
  <c r="AI108" i="47"/>
  <c r="AD85" i="47"/>
  <c r="AH49" i="29"/>
  <c r="AE84" i="47"/>
  <c r="AI48" i="29"/>
  <c r="AN77" i="56"/>
  <c r="AN80" i="56" s="1"/>
  <c r="AN81" i="56" s="1"/>
  <c r="X31" i="55"/>
  <c r="T129" i="47"/>
  <c r="Y33" i="55"/>
  <c r="U130" i="47"/>
  <c r="AS80" i="56"/>
  <c r="AS81" i="56" s="1"/>
  <c r="Z28" i="55"/>
  <c r="V127" i="47"/>
  <c r="T135" i="47"/>
  <c r="X27" i="55"/>
  <c r="X36" i="55"/>
  <c r="T133" i="47"/>
  <c r="Y32" i="55"/>
  <c r="U131" i="47"/>
  <c r="Y37" i="55"/>
  <c r="U134" i="47"/>
  <c r="Y34" i="55"/>
  <c r="U128" i="47"/>
  <c r="AN26" i="35"/>
  <c r="AJ7" i="47"/>
  <c r="AJ5" i="47"/>
  <c r="AN22" i="35"/>
  <c r="AN24" i="35"/>
  <c r="AJ9" i="47"/>
  <c r="AO25" i="35"/>
  <c r="AK6" i="47"/>
  <c r="AN23" i="35"/>
  <c r="AJ8" i="47"/>
  <c r="V61" i="57" l="1"/>
  <c r="T147" i="56"/>
  <c r="X121" i="56"/>
  <c r="T145" i="56"/>
  <c r="Q95" i="47" s="1"/>
  <c r="X119" i="56"/>
  <c r="T186" i="56"/>
  <c r="P97" i="47"/>
  <c r="V149" i="56"/>
  <c r="Z123" i="56"/>
  <c r="T142" i="56"/>
  <c r="Q92" i="47" s="1"/>
  <c r="X116" i="56"/>
  <c r="R99" i="47"/>
  <c r="V188" i="56"/>
  <c r="T144" i="56"/>
  <c r="Q94" i="47" s="1"/>
  <c r="X118" i="56"/>
  <c r="T143" i="56"/>
  <c r="Q93" i="47" s="1"/>
  <c r="X117" i="56"/>
  <c r="T141" i="56"/>
  <c r="Q91" i="47" s="1"/>
  <c r="X115" i="56"/>
  <c r="U137" i="56"/>
  <c r="R87" i="47" s="1"/>
  <c r="Y111" i="56"/>
  <c r="T140" i="56"/>
  <c r="Q90" i="47" s="1"/>
  <c r="X114" i="56"/>
  <c r="X113" i="56"/>
  <c r="T139" i="56"/>
  <c r="Q89" i="47" s="1"/>
  <c r="T146" i="56"/>
  <c r="Q96" i="47" s="1"/>
  <c r="X120" i="56"/>
  <c r="AN245" i="58"/>
  <c r="AO223" i="58"/>
  <c r="AO225" i="58"/>
  <c r="AO224" i="58"/>
  <c r="AO221" i="58"/>
  <c r="AO220" i="58"/>
  <c r="AO222" i="58"/>
  <c r="AQ45" i="58"/>
  <c r="AQ51" i="58" s="1"/>
  <c r="AQ44" i="58"/>
  <c r="AQ50" i="58" s="1"/>
  <c r="AQ46" i="58"/>
  <c r="AQ52" i="58" s="1"/>
  <c r="AQ43" i="58"/>
  <c r="AQ49" i="58" s="1"/>
  <c r="AP200" i="58"/>
  <c r="AP199" i="58"/>
  <c r="AP203" i="58"/>
  <c r="AP204" i="58"/>
  <c r="AP198" i="58"/>
  <c r="AP205" i="58"/>
  <c r="AP202" i="58"/>
  <c r="AP197" i="58"/>
  <c r="AP201" i="58"/>
  <c r="AP176" i="58"/>
  <c r="AP235" i="58" s="1"/>
  <c r="AP178" i="58"/>
  <c r="AP237" i="58" s="1"/>
  <c r="AP179" i="58"/>
  <c r="AP238" i="58" s="1"/>
  <c r="AP180" i="58"/>
  <c r="AP239" i="58" s="1"/>
  <c r="AP174" i="58"/>
  <c r="AP233" i="58" s="1"/>
  <c r="AP175" i="58"/>
  <c r="AP234" i="58" s="1"/>
  <c r="AP177" i="58"/>
  <c r="AP236" i="58" s="1"/>
  <c r="AP53" i="58"/>
  <c r="AP182" i="58"/>
  <c r="AP241" i="58" s="1"/>
  <c r="AP181" i="58"/>
  <c r="AP240" i="58" s="1"/>
  <c r="AP215" i="58"/>
  <c r="AP214" i="58"/>
  <c r="AP208" i="58"/>
  <c r="AP213" i="58"/>
  <c r="AP210" i="58"/>
  <c r="AP216" i="58"/>
  <c r="AP209" i="58"/>
  <c r="AP212" i="58"/>
  <c r="AP211" i="58"/>
  <c r="AR167" i="58"/>
  <c r="AR166" i="58"/>
  <c r="AR164" i="58"/>
  <c r="AR162" i="58"/>
  <c r="AR165" i="58"/>
  <c r="AR169" i="58"/>
  <c r="AR163" i="58"/>
  <c r="AR168" i="58"/>
  <c r="AR170" i="58"/>
  <c r="AR36" i="58"/>
  <c r="AR41" i="58" s="1"/>
  <c r="AP188" i="58"/>
  <c r="AP189" i="58"/>
  <c r="AP193" i="58"/>
  <c r="AP191" i="58"/>
  <c r="AP194" i="58"/>
  <c r="AP192" i="58"/>
  <c r="AP186" i="58"/>
  <c r="AP190" i="58"/>
  <c r="AP187" i="58"/>
  <c r="AO228" i="58"/>
  <c r="AU23" i="58"/>
  <c r="AT31" i="58"/>
  <c r="AT34" i="58" s="1"/>
  <c r="AO226" i="58"/>
  <c r="AS35" i="58"/>
  <c r="AS156" i="58"/>
  <c r="AS159" i="58"/>
  <c r="AS155" i="58"/>
  <c r="AS152" i="58"/>
  <c r="AS151" i="58"/>
  <c r="AS157" i="58"/>
  <c r="AS153" i="58"/>
  <c r="AS154" i="58"/>
  <c r="AS158" i="58"/>
  <c r="AO227" i="58"/>
  <c r="AT24" i="58"/>
  <c r="AE86" i="47"/>
  <c r="AG108" i="47"/>
  <c r="AK51" i="29"/>
  <c r="AH108" i="47" s="1"/>
  <c r="AF84" i="47"/>
  <c r="AJ48" i="29"/>
  <c r="AE85" i="47"/>
  <c r="AI49" i="29"/>
  <c r="AF86" i="47"/>
  <c r="AJ50" i="29"/>
  <c r="Z32" i="55"/>
  <c r="V131" i="47"/>
  <c r="Z33" i="55"/>
  <c r="V130" i="47"/>
  <c r="AT80" i="56"/>
  <c r="AT81" i="56" s="1"/>
  <c r="Y27" i="55"/>
  <c r="U135" i="47"/>
  <c r="V128" i="47"/>
  <c r="Z34" i="55"/>
  <c r="Y36" i="55"/>
  <c r="U133" i="47"/>
  <c r="Y31" i="55"/>
  <c r="U129" i="47"/>
  <c r="AA28" i="55"/>
  <c r="W127" i="47"/>
  <c r="V134" i="47"/>
  <c r="Z37" i="55"/>
  <c r="AO23" i="35"/>
  <c r="AK8" i="47"/>
  <c r="AP25" i="35"/>
  <c r="AM6" i="47" s="1"/>
  <c r="AL6" i="47"/>
  <c r="AK5" i="47"/>
  <c r="AO22" i="35"/>
  <c r="AK9" i="47"/>
  <c r="AO24" i="35"/>
  <c r="AO26" i="35"/>
  <c r="AK7" i="47"/>
  <c r="Y116" i="56" l="1"/>
  <c r="U142" i="56"/>
  <c r="R92" i="47" s="1"/>
  <c r="V137" i="56"/>
  <c r="S87" i="47" s="1"/>
  <c r="Z111" i="56"/>
  <c r="W149" i="56"/>
  <c r="AA123" i="56"/>
  <c r="S99" i="47"/>
  <c r="W188" i="56"/>
  <c r="Y120" i="56"/>
  <c r="U146" i="56"/>
  <c r="R96" i="47" s="1"/>
  <c r="U141" i="56"/>
  <c r="R91" i="47" s="1"/>
  <c r="Y115" i="56"/>
  <c r="U143" i="56"/>
  <c r="R93" i="47" s="1"/>
  <c r="Y117" i="56"/>
  <c r="Y119" i="56"/>
  <c r="U145" i="56"/>
  <c r="R95" i="47" s="1"/>
  <c r="U140" i="56"/>
  <c r="R90" i="47" s="1"/>
  <c r="Y114" i="56"/>
  <c r="U144" i="56"/>
  <c r="R94" i="47" s="1"/>
  <c r="Y118" i="56"/>
  <c r="U147" i="56"/>
  <c r="Y121" i="56"/>
  <c r="U139" i="56"/>
  <c r="R89" i="47" s="1"/>
  <c r="Y113" i="56"/>
  <c r="Q97" i="47"/>
  <c r="U186" i="56"/>
  <c r="AO245" i="58"/>
  <c r="AP224" i="58"/>
  <c r="AP226" i="58"/>
  <c r="AP221" i="58"/>
  <c r="AP220" i="58"/>
  <c r="AP223" i="58"/>
  <c r="AU24" i="58"/>
  <c r="AP225" i="58"/>
  <c r="AP227" i="58"/>
  <c r="AS168" i="58"/>
  <c r="AS162" i="58"/>
  <c r="AS169" i="58"/>
  <c r="AS166" i="58"/>
  <c r="AS165" i="58"/>
  <c r="AS170" i="58"/>
  <c r="AS164" i="58"/>
  <c r="AS167" i="58"/>
  <c r="AS163" i="58"/>
  <c r="AS36" i="58"/>
  <c r="AS41" i="58" s="1"/>
  <c r="AP222" i="58"/>
  <c r="AT35" i="58"/>
  <c r="AT159" i="58"/>
  <c r="AT155" i="58"/>
  <c r="AT156" i="58"/>
  <c r="AT151" i="58"/>
  <c r="AT153" i="58"/>
  <c r="AT154" i="58"/>
  <c r="AT152" i="58"/>
  <c r="AT157" i="58"/>
  <c r="AT158" i="58"/>
  <c r="AR45" i="58"/>
  <c r="AR51" i="58" s="1"/>
  <c r="AR43" i="58"/>
  <c r="AR49" i="58" s="1"/>
  <c r="AR44" i="58"/>
  <c r="AR50" i="58" s="1"/>
  <c r="AR46" i="58"/>
  <c r="AR52" i="58" s="1"/>
  <c r="AU31" i="58"/>
  <c r="AU34" i="58" s="1"/>
  <c r="AV23" i="58"/>
  <c r="AQ179" i="58"/>
  <c r="AQ238" i="58" s="1"/>
  <c r="AM253" i="58" s="1"/>
  <c r="AJ117" i="47" s="1"/>
  <c r="AQ181" i="58"/>
  <c r="AQ240" i="58" s="1"/>
  <c r="AM255" i="58" s="1"/>
  <c r="AJ116" i="47" s="1"/>
  <c r="AQ180" i="58"/>
  <c r="AQ239" i="58" s="1"/>
  <c r="AM254" i="58" s="1"/>
  <c r="AJ110" i="47" s="1"/>
  <c r="AQ53" i="58"/>
  <c r="AQ176" i="58"/>
  <c r="AQ235" i="58" s="1"/>
  <c r="AM250" i="58" s="1"/>
  <c r="AJ112" i="47" s="1"/>
  <c r="AQ182" i="58"/>
  <c r="AQ241" i="58" s="1"/>
  <c r="AM256" i="58" s="1"/>
  <c r="AJ114" i="47" s="1"/>
  <c r="AQ174" i="58"/>
  <c r="AQ233" i="58" s="1"/>
  <c r="AM248" i="58" s="1"/>
  <c r="AJ109" i="47" s="1"/>
  <c r="AQ177" i="58"/>
  <c r="AQ236" i="58" s="1"/>
  <c r="AM251" i="58" s="1"/>
  <c r="AJ113" i="47" s="1"/>
  <c r="AQ175" i="58"/>
  <c r="AQ234" i="58" s="1"/>
  <c r="AM249" i="58" s="1"/>
  <c r="AJ111" i="47" s="1"/>
  <c r="AQ178" i="58"/>
  <c r="AQ237" i="58" s="1"/>
  <c r="AM252" i="58" s="1"/>
  <c r="AJ115" i="47" s="1"/>
  <c r="AQ211" i="58"/>
  <c r="AQ208" i="58"/>
  <c r="AQ212" i="58"/>
  <c r="AQ215" i="58"/>
  <c r="AQ214" i="58"/>
  <c r="AQ213" i="58"/>
  <c r="AQ210" i="58"/>
  <c r="AQ216" i="58"/>
  <c r="AQ209" i="58"/>
  <c r="AQ186" i="58"/>
  <c r="AQ194" i="58"/>
  <c r="AQ190" i="58"/>
  <c r="AQ193" i="58"/>
  <c r="AQ187" i="58"/>
  <c r="AQ192" i="58"/>
  <c r="AQ189" i="58"/>
  <c r="AQ191" i="58"/>
  <c r="AQ188" i="58"/>
  <c r="AQ198" i="58"/>
  <c r="AQ202" i="58"/>
  <c r="AQ199" i="58"/>
  <c r="AQ205" i="58"/>
  <c r="AQ201" i="58"/>
  <c r="AQ203" i="58"/>
  <c r="AQ200" i="58"/>
  <c r="AQ204" i="58"/>
  <c r="AQ197" i="58"/>
  <c r="AP228" i="58"/>
  <c r="AG86" i="47"/>
  <c r="AK50" i="29"/>
  <c r="AH86" i="47" s="1"/>
  <c r="AF85" i="47"/>
  <c r="AJ49" i="29"/>
  <c r="AK48" i="29"/>
  <c r="AH84" i="47" s="1"/>
  <c r="AG84" i="47"/>
  <c r="Z36" i="55"/>
  <c r="V133" i="47"/>
  <c r="AA37" i="55"/>
  <c r="W134" i="47"/>
  <c r="V129" i="47"/>
  <c r="Z31" i="55"/>
  <c r="AA34" i="55"/>
  <c r="W128" i="47"/>
  <c r="V135" i="47"/>
  <c r="Z27" i="55"/>
  <c r="AA32" i="55"/>
  <c r="W131" i="47"/>
  <c r="X127" i="47"/>
  <c r="AB28" i="55"/>
  <c r="AA33" i="55"/>
  <c r="W130" i="47"/>
  <c r="AL7" i="47"/>
  <c r="AP26" i="35"/>
  <c r="AM7" i="47" s="1"/>
  <c r="AP24" i="35"/>
  <c r="AM9" i="47" s="1"/>
  <c r="AL9" i="47"/>
  <c r="AP22" i="35"/>
  <c r="AM5" i="47" s="1"/>
  <c r="AL5" i="47"/>
  <c r="AP23" i="35"/>
  <c r="AM8" i="47" s="1"/>
  <c r="AL8" i="47"/>
  <c r="T99" i="47" l="1"/>
  <c r="X188" i="56"/>
  <c r="W137" i="56"/>
  <c r="T87" i="47" s="1"/>
  <c r="AA111" i="56"/>
  <c r="AB123" i="56"/>
  <c r="X149" i="56"/>
  <c r="V145" i="56"/>
  <c r="S95" i="47" s="1"/>
  <c r="Z119" i="56"/>
  <c r="V143" i="56"/>
  <c r="S93" i="47" s="1"/>
  <c r="Z117" i="56"/>
  <c r="V139" i="56"/>
  <c r="S89" i="47" s="1"/>
  <c r="Z113" i="56"/>
  <c r="V141" i="56"/>
  <c r="S91" i="47" s="1"/>
  <c r="Z115" i="56"/>
  <c r="V147" i="56"/>
  <c r="Z121" i="56"/>
  <c r="R97" i="47"/>
  <c r="V186" i="56"/>
  <c r="Z120" i="56"/>
  <c r="V146" i="56"/>
  <c r="S96" i="47" s="1"/>
  <c r="V142" i="56"/>
  <c r="S92" i="47" s="1"/>
  <c r="Z116" i="56"/>
  <c r="Z118" i="56"/>
  <c r="V144" i="56"/>
  <c r="S94" i="47" s="1"/>
  <c r="Z114" i="56"/>
  <c r="V140" i="56"/>
  <c r="S90" i="47" s="1"/>
  <c r="AP245" i="58"/>
  <c r="AV24" i="58"/>
  <c r="AQ223" i="58"/>
  <c r="AM261" i="58" s="1"/>
  <c r="AJ122" i="47" s="1"/>
  <c r="AQ221" i="58"/>
  <c r="AM259" i="58" s="1"/>
  <c r="AJ120" i="47" s="1"/>
  <c r="AR53" i="58"/>
  <c r="AR182" i="58"/>
  <c r="AR241" i="58" s="1"/>
  <c r="AR178" i="58"/>
  <c r="AR237" i="58" s="1"/>
  <c r="AR174" i="58"/>
  <c r="AR233" i="58" s="1"/>
  <c r="AR177" i="58"/>
  <c r="AR236" i="58" s="1"/>
  <c r="AR181" i="58"/>
  <c r="AR240" i="58" s="1"/>
  <c r="AR175" i="58"/>
  <c r="AR234" i="58" s="1"/>
  <c r="AR176" i="58"/>
  <c r="AR235" i="58" s="1"/>
  <c r="AR179" i="58"/>
  <c r="AR238" i="58" s="1"/>
  <c r="AR180" i="58"/>
  <c r="AR239" i="58" s="1"/>
  <c r="AR202" i="58"/>
  <c r="AR201" i="58"/>
  <c r="AR199" i="58"/>
  <c r="AR205" i="58"/>
  <c r="AR197" i="58"/>
  <c r="AR198" i="58"/>
  <c r="AR204" i="58"/>
  <c r="AR200" i="58"/>
  <c r="AR203" i="58"/>
  <c r="AS44" i="58"/>
  <c r="AS50" i="58" s="1"/>
  <c r="AS45" i="58"/>
  <c r="AS51" i="58" s="1"/>
  <c r="AS46" i="58"/>
  <c r="AS52" i="58" s="1"/>
  <c r="AS43" i="58"/>
  <c r="AS49" i="58" s="1"/>
  <c r="AQ222" i="58"/>
  <c r="AM260" i="58" s="1"/>
  <c r="AJ121" i="47" s="1"/>
  <c r="AQ225" i="58"/>
  <c r="AM263" i="58" s="1"/>
  <c r="AJ126" i="47" s="1"/>
  <c r="AQ226" i="58"/>
  <c r="AM264" i="58" s="1"/>
  <c r="AJ119" i="47" s="1"/>
  <c r="AQ227" i="58"/>
  <c r="AM265" i="58" s="1"/>
  <c r="AJ125" i="47" s="1"/>
  <c r="AV31" i="58"/>
  <c r="AV34" i="58" s="1"/>
  <c r="AQ224" i="58"/>
  <c r="AM262" i="58" s="1"/>
  <c r="AJ124" i="47" s="1"/>
  <c r="AU35" i="58"/>
  <c r="AU159" i="58"/>
  <c r="AU156" i="58"/>
  <c r="AU155" i="58"/>
  <c r="AU151" i="58"/>
  <c r="AU154" i="58"/>
  <c r="AU152" i="58"/>
  <c r="AU158" i="58"/>
  <c r="AU157" i="58"/>
  <c r="AU153" i="58"/>
  <c r="AQ228" i="58"/>
  <c r="AM266" i="58" s="1"/>
  <c r="AJ123" i="47" s="1"/>
  <c r="AR211" i="58"/>
  <c r="AR215" i="58"/>
  <c r="AR216" i="58"/>
  <c r="AR214" i="58"/>
  <c r="AR213" i="58"/>
  <c r="AR209" i="58"/>
  <c r="AR208" i="58"/>
  <c r="AR210" i="58"/>
  <c r="AR212" i="58"/>
  <c r="AQ220" i="58"/>
  <c r="AR186" i="58"/>
  <c r="AR189" i="58"/>
  <c r="AR194" i="58"/>
  <c r="AR190" i="58"/>
  <c r="AR191" i="58"/>
  <c r="AR193" i="58"/>
  <c r="AR192" i="58"/>
  <c r="AR187" i="58"/>
  <c r="AR188" i="58"/>
  <c r="AT166" i="58"/>
  <c r="AT167" i="58"/>
  <c r="AT162" i="58"/>
  <c r="AT170" i="58"/>
  <c r="AT165" i="58"/>
  <c r="AT168" i="58"/>
  <c r="AT169" i="58"/>
  <c r="AT163" i="58"/>
  <c r="AT164" i="58"/>
  <c r="AT36" i="58"/>
  <c r="AT41" i="58" s="1"/>
  <c r="AK49" i="29"/>
  <c r="AH85" i="47" s="1"/>
  <c r="AG85" i="47"/>
  <c r="AB33" i="55"/>
  <c r="X130" i="47"/>
  <c r="AB37" i="55"/>
  <c r="X134" i="47"/>
  <c r="AA27" i="55"/>
  <c r="W135" i="47"/>
  <c r="AA31" i="55"/>
  <c r="W129" i="47"/>
  <c r="AB34" i="55"/>
  <c r="X128" i="47"/>
  <c r="AB32" i="55"/>
  <c r="X131" i="47"/>
  <c r="AC28" i="55"/>
  <c r="Y127" i="47"/>
  <c r="AA36" i="55"/>
  <c r="W133" i="47"/>
  <c r="W143" i="56" l="1"/>
  <c r="T93" i="47" s="1"/>
  <c r="AA117" i="56"/>
  <c r="AA120" i="56"/>
  <c r="W146" i="56"/>
  <c r="T96" i="47" s="1"/>
  <c r="W145" i="56"/>
  <c r="T95" i="47" s="1"/>
  <c r="AA119" i="56"/>
  <c r="W147" i="56"/>
  <c r="AA121" i="56"/>
  <c r="W140" i="56"/>
  <c r="T90" i="47" s="1"/>
  <c r="AA114" i="56"/>
  <c r="W186" i="56"/>
  <c r="S97" i="47"/>
  <c r="U99" i="47"/>
  <c r="Y188" i="56"/>
  <c r="AA115" i="56"/>
  <c r="W141" i="56"/>
  <c r="T91" i="47" s="1"/>
  <c r="Y149" i="56"/>
  <c r="AC123" i="56"/>
  <c r="X137" i="56"/>
  <c r="U87" i="47" s="1"/>
  <c r="AB111" i="56"/>
  <c r="AA113" i="56"/>
  <c r="W139" i="56"/>
  <c r="T89" i="47" s="1"/>
  <c r="AA118" i="56"/>
  <c r="W144" i="56"/>
  <c r="T94" i="47" s="1"/>
  <c r="W142" i="56"/>
  <c r="T92" i="47" s="1"/>
  <c r="AA116" i="56"/>
  <c r="AR222" i="58"/>
  <c r="AR227" i="58"/>
  <c r="AR226" i="58"/>
  <c r="AR228" i="58"/>
  <c r="AR225" i="58"/>
  <c r="AR221" i="58"/>
  <c r="AR224" i="58"/>
  <c r="AS181" i="58"/>
  <c r="AS240" i="58" s="1"/>
  <c r="AS178" i="58"/>
  <c r="AS237" i="58" s="1"/>
  <c r="AS174" i="58"/>
  <c r="AS233" i="58" s="1"/>
  <c r="AS180" i="58"/>
  <c r="AS239" i="58" s="1"/>
  <c r="AS177" i="58"/>
  <c r="AS236" i="58" s="1"/>
  <c r="AS179" i="58"/>
  <c r="AS238" i="58" s="1"/>
  <c r="AS176" i="58"/>
  <c r="AS235" i="58" s="1"/>
  <c r="AS182" i="58"/>
  <c r="AS241" i="58" s="1"/>
  <c r="AS175" i="58"/>
  <c r="AS234" i="58" s="1"/>
  <c r="AS53" i="58"/>
  <c r="AT45" i="58"/>
  <c r="AT51" i="58" s="1"/>
  <c r="AT46" i="58"/>
  <c r="AT52" i="58" s="1"/>
  <c r="AT43" i="58"/>
  <c r="AT49" i="58" s="1"/>
  <c r="AT44" i="58"/>
  <c r="AT50" i="58" s="1"/>
  <c r="AS208" i="58"/>
  <c r="AS213" i="58"/>
  <c r="AS209" i="58"/>
  <c r="AS216" i="58"/>
  <c r="AS210" i="58"/>
  <c r="AS212" i="58"/>
  <c r="AS215" i="58"/>
  <c r="AS211" i="58"/>
  <c r="AS214" i="58"/>
  <c r="AS201" i="58"/>
  <c r="AS197" i="58"/>
  <c r="AS205" i="58"/>
  <c r="AS199" i="58"/>
  <c r="AS202" i="58"/>
  <c r="AS198" i="58"/>
  <c r="AS200" i="58"/>
  <c r="AS204" i="58"/>
  <c r="AS203" i="58"/>
  <c r="AS190" i="58"/>
  <c r="AS191" i="58"/>
  <c r="AS186" i="58"/>
  <c r="AS188" i="58"/>
  <c r="AS192" i="58"/>
  <c r="AS194" i="58"/>
  <c r="AS193" i="58"/>
  <c r="AS189" i="58"/>
  <c r="AS187" i="58"/>
  <c r="AS221" i="58" s="1"/>
  <c r="AU163" i="58"/>
  <c r="AU164" i="58"/>
  <c r="AU168" i="58"/>
  <c r="AU165" i="58"/>
  <c r="AU167" i="58"/>
  <c r="AU170" i="58"/>
  <c r="AU169" i="58"/>
  <c r="AU166" i="58"/>
  <c r="AU162" i="58"/>
  <c r="AU36" i="58"/>
  <c r="AU41" i="58" s="1"/>
  <c r="AR223" i="58"/>
  <c r="AR220" i="58"/>
  <c r="AV35" i="58"/>
  <c r="AV154" i="58"/>
  <c r="AV153" i="58"/>
  <c r="AV158" i="58"/>
  <c r="AV157" i="58"/>
  <c r="AV156" i="58"/>
  <c r="AV159" i="58"/>
  <c r="AV155" i="58"/>
  <c r="AV151" i="58"/>
  <c r="AV152" i="58"/>
  <c r="AQ245" i="58"/>
  <c r="AM258" i="58"/>
  <c r="AJ118" i="47" s="1"/>
  <c r="AB36" i="55"/>
  <c r="X133" i="47"/>
  <c r="AB31" i="55"/>
  <c r="X129" i="47"/>
  <c r="AC37" i="55"/>
  <c r="Y134" i="47"/>
  <c r="AC32" i="55"/>
  <c r="Y131" i="47"/>
  <c r="AB27" i="55"/>
  <c r="X135" i="47"/>
  <c r="Y130" i="47"/>
  <c r="AC33" i="55"/>
  <c r="AD28" i="55"/>
  <c r="Z127" i="47"/>
  <c r="AC34" i="55"/>
  <c r="Y128" i="47"/>
  <c r="X140" i="56" l="1"/>
  <c r="U90" i="47" s="1"/>
  <c r="AB114" i="56"/>
  <c r="Z149" i="56"/>
  <c r="AD123" i="56"/>
  <c r="AB121" i="56"/>
  <c r="X147" i="56"/>
  <c r="V99" i="47"/>
  <c r="Z188" i="56"/>
  <c r="T97" i="47"/>
  <c r="X186" i="56"/>
  <c r="AB116" i="56"/>
  <c r="X142" i="56"/>
  <c r="U92" i="47" s="1"/>
  <c r="AB118" i="56"/>
  <c r="X144" i="56"/>
  <c r="U94" i="47" s="1"/>
  <c r="X145" i="56"/>
  <c r="U95" i="47" s="1"/>
  <c r="AB119" i="56"/>
  <c r="X141" i="56"/>
  <c r="U91" i="47" s="1"/>
  <c r="AB115" i="56"/>
  <c r="AB113" i="56"/>
  <c r="X139" i="56"/>
  <c r="U89" i="47" s="1"/>
  <c r="X146" i="56"/>
  <c r="U96" i="47" s="1"/>
  <c r="AB120" i="56"/>
  <c r="X143" i="56"/>
  <c r="U93" i="47" s="1"/>
  <c r="AB117" i="56"/>
  <c r="Y137" i="56"/>
  <c r="V87" i="47" s="1"/>
  <c r="AC111" i="56"/>
  <c r="AR245" i="58"/>
  <c r="AS225" i="58"/>
  <c r="AS223" i="58"/>
  <c r="AS228" i="58"/>
  <c r="AS226" i="58"/>
  <c r="AS222" i="58"/>
  <c r="AT210" i="58"/>
  <c r="AT212" i="58"/>
  <c r="AT209" i="58"/>
  <c r="AT215" i="58"/>
  <c r="AT216" i="58"/>
  <c r="AT208" i="58"/>
  <c r="AT214" i="58"/>
  <c r="AT211" i="58"/>
  <c r="AT213" i="58"/>
  <c r="AS220" i="58"/>
  <c r="AT204" i="58"/>
  <c r="AT200" i="58"/>
  <c r="AT203" i="58"/>
  <c r="AT202" i="58"/>
  <c r="AT197" i="58"/>
  <c r="AT198" i="58"/>
  <c r="AT205" i="58"/>
  <c r="AT199" i="58"/>
  <c r="AT201" i="58"/>
  <c r="AS224" i="58"/>
  <c r="AV169" i="58"/>
  <c r="AV162" i="58"/>
  <c r="AV163" i="58"/>
  <c r="AV164" i="58"/>
  <c r="AV167" i="58"/>
  <c r="AV170" i="58"/>
  <c r="AV165" i="58"/>
  <c r="AV168" i="58"/>
  <c r="AV166" i="58"/>
  <c r="AV36" i="58"/>
  <c r="AV41" i="58" s="1"/>
  <c r="AU46" i="58"/>
  <c r="AU52" i="58" s="1"/>
  <c r="AU44" i="58"/>
  <c r="AU50" i="58" s="1"/>
  <c r="AU43" i="58"/>
  <c r="AU49" i="58" s="1"/>
  <c r="AU45" i="58"/>
  <c r="AU51" i="58" s="1"/>
  <c r="AS227" i="58"/>
  <c r="AT193" i="58"/>
  <c r="AT192" i="58"/>
  <c r="AT189" i="58"/>
  <c r="AT191" i="58"/>
  <c r="AT188" i="58"/>
  <c r="AT187" i="58"/>
  <c r="AT190" i="58"/>
  <c r="AT186" i="58"/>
  <c r="AT194" i="58"/>
  <c r="AT181" i="58"/>
  <c r="AT240" i="58" s="1"/>
  <c r="AT53" i="58"/>
  <c r="AT176" i="58"/>
  <c r="AT235" i="58" s="1"/>
  <c r="AT177" i="58"/>
  <c r="AT236" i="58" s="1"/>
  <c r="AT180" i="58"/>
  <c r="AT239" i="58" s="1"/>
  <c r="AT175" i="58"/>
  <c r="AT234" i="58" s="1"/>
  <c r="AT182" i="58"/>
  <c r="AT241" i="58" s="1"/>
  <c r="AT178" i="58"/>
  <c r="AT237" i="58" s="1"/>
  <c r="AT179" i="58"/>
  <c r="AT238" i="58" s="1"/>
  <c r="AT174" i="58"/>
  <c r="AT233" i="58" s="1"/>
  <c r="AD34" i="55"/>
  <c r="Z128" i="47"/>
  <c r="AD32" i="55"/>
  <c r="Z131" i="47"/>
  <c r="AC31" i="55"/>
  <c r="Y129" i="47"/>
  <c r="AE28" i="55"/>
  <c r="AA127" i="47"/>
  <c r="AD33" i="55"/>
  <c r="Z130" i="47"/>
  <c r="AC27" i="55"/>
  <c r="Y135" i="47"/>
  <c r="AD37" i="55"/>
  <c r="Z134" i="47"/>
  <c r="AC36" i="55"/>
  <c r="Y133" i="47"/>
  <c r="AC116" i="56" l="1"/>
  <c r="Y142" i="56"/>
  <c r="V92" i="47" s="1"/>
  <c r="Z137" i="56"/>
  <c r="W87" i="47" s="1"/>
  <c r="AD111" i="56"/>
  <c r="Y139" i="56"/>
  <c r="V89" i="47" s="1"/>
  <c r="AC113" i="56"/>
  <c r="Y143" i="56"/>
  <c r="V93" i="47" s="1"/>
  <c r="AC117" i="56"/>
  <c r="AC115" i="56"/>
  <c r="Y141" i="56"/>
  <c r="V91" i="47" s="1"/>
  <c r="U97" i="47"/>
  <c r="Y186" i="56"/>
  <c r="Y147" i="56"/>
  <c r="AC121" i="56"/>
  <c r="Y146" i="56"/>
  <c r="V96" i="47" s="1"/>
  <c r="AC120" i="56"/>
  <c r="Y145" i="56"/>
  <c r="V95" i="47" s="1"/>
  <c r="AC119" i="56"/>
  <c r="AA149" i="56"/>
  <c r="AE123" i="56"/>
  <c r="W99" i="47"/>
  <c r="AA188" i="56"/>
  <c r="Y140" i="56"/>
  <c r="V90" i="47" s="1"/>
  <c r="AC114" i="56"/>
  <c r="Y144" i="56"/>
  <c r="V94" i="47" s="1"/>
  <c r="AC118" i="56"/>
  <c r="AS245" i="58"/>
  <c r="AT220" i="58"/>
  <c r="AT222" i="58"/>
  <c r="AT221" i="58"/>
  <c r="AT225" i="58"/>
  <c r="AT228" i="58"/>
  <c r="AT224" i="58"/>
  <c r="AT223" i="58"/>
  <c r="AT226" i="58"/>
  <c r="AT227" i="58"/>
  <c r="AU197" i="58"/>
  <c r="AU199" i="58"/>
  <c r="AU201" i="58"/>
  <c r="AU205" i="58"/>
  <c r="AU202" i="58"/>
  <c r="AU200" i="58"/>
  <c r="AU198" i="58"/>
  <c r="AU204" i="58"/>
  <c r="AU203" i="58"/>
  <c r="AU53" i="58"/>
  <c r="AU175" i="58"/>
  <c r="AU234" i="58" s="1"/>
  <c r="AU174" i="58"/>
  <c r="AU233" i="58" s="1"/>
  <c r="AU181" i="58"/>
  <c r="AU240" i="58" s="1"/>
  <c r="AU177" i="58"/>
  <c r="AU236" i="58" s="1"/>
  <c r="AU182" i="58"/>
  <c r="AU241" i="58" s="1"/>
  <c r="AU180" i="58"/>
  <c r="AU239" i="58" s="1"/>
  <c r="AU179" i="58"/>
  <c r="AU238" i="58" s="1"/>
  <c r="AU178" i="58"/>
  <c r="AU237" i="58" s="1"/>
  <c r="AU176" i="58"/>
  <c r="AU235" i="58" s="1"/>
  <c r="AU190" i="58"/>
  <c r="AU191" i="58"/>
  <c r="AU194" i="58"/>
  <c r="AU189" i="58"/>
  <c r="AU188" i="58"/>
  <c r="AU193" i="58"/>
  <c r="AU187" i="58"/>
  <c r="AU192" i="58"/>
  <c r="AU186" i="58"/>
  <c r="AU214" i="58"/>
  <c r="AU210" i="58"/>
  <c r="AU215" i="58"/>
  <c r="AU213" i="58"/>
  <c r="AU216" i="58"/>
  <c r="AU208" i="58"/>
  <c r="AU212" i="58"/>
  <c r="AU209" i="58"/>
  <c r="AU211" i="58"/>
  <c r="AV44" i="58"/>
  <c r="AV50" i="58" s="1"/>
  <c r="AV43" i="58"/>
  <c r="AV49" i="58" s="1"/>
  <c r="AV46" i="58"/>
  <c r="AV52" i="58" s="1"/>
  <c r="AV45" i="58"/>
  <c r="AV51" i="58" s="1"/>
  <c r="AE37" i="55"/>
  <c r="AA134" i="47"/>
  <c r="AD27" i="55"/>
  <c r="Z135" i="47"/>
  <c r="AF28" i="55"/>
  <c r="AB127" i="47"/>
  <c r="AD31" i="55"/>
  <c r="Z129" i="47"/>
  <c r="AE33" i="55"/>
  <c r="AA130" i="47"/>
  <c r="AE32" i="55"/>
  <c r="AA131" i="47"/>
  <c r="AD36" i="55"/>
  <c r="Z133" i="47"/>
  <c r="AA128" i="47"/>
  <c r="AE34" i="55"/>
  <c r="AD115" i="56" l="1"/>
  <c r="Z141" i="56"/>
  <c r="W91" i="47" s="1"/>
  <c r="AB149" i="56"/>
  <c r="AF123" i="56"/>
  <c r="AD117" i="56"/>
  <c r="Z143" i="56"/>
  <c r="W93" i="47" s="1"/>
  <c r="AD118" i="56"/>
  <c r="Z144" i="56"/>
  <c r="W94" i="47" s="1"/>
  <c r="Z145" i="56"/>
  <c r="W95" i="47" s="1"/>
  <c r="AD119" i="56"/>
  <c r="Z139" i="56"/>
  <c r="W89" i="47" s="1"/>
  <c r="AD113" i="56"/>
  <c r="Z146" i="56"/>
  <c r="W96" i="47" s="1"/>
  <c r="AD120" i="56"/>
  <c r="AA137" i="56"/>
  <c r="X87" i="47" s="1"/>
  <c r="AE111" i="56"/>
  <c r="AD114" i="56"/>
  <c r="Z140" i="56"/>
  <c r="W90" i="47" s="1"/>
  <c r="Z147" i="56"/>
  <c r="AD121" i="56"/>
  <c r="V97" i="47"/>
  <c r="Z186" i="56"/>
  <c r="Z142" i="56"/>
  <c r="W92" i="47" s="1"/>
  <c r="AD116" i="56"/>
  <c r="X99" i="47"/>
  <c r="AB188" i="56"/>
  <c r="AT245" i="58"/>
  <c r="AU225" i="58"/>
  <c r="AU226" i="58"/>
  <c r="AU223" i="58"/>
  <c r="AU222" i="58"/>
  <c r="AU228" i="58"/>
  <c r="AU224" i="58"/>
  <c r="AV204" i="58"/>
  <c r="AV200" i="58"/>
  <c r="AV203" i="58"/>
  <c r="AV199" i="58"/>
  <c r="AV202" i="58"/>
  <c r="AV201" i="58"/>
  <c r="AV205" i="58"/>
  <c r="AV198" i="58"/>
  <c r="AV197" i="58"/>
  <c r="AV216" i="58"/>
  <c r="AV212" i="58"/>
  <c r="AV211" i="58"/>
  <c r="AV213" i="58"/>
  <c r="AV208" i="58"/>
  <c r="AV210" i="58"/>
  <c r="AV209" i="58"/>
  <c r="AV215" i="58"/>
  <c r="AV214" i="58"/>
  <c r="AU220" i="58"/>
  <c r="AV175" i="58"/>
  <c r="AV234" i="58" s="1"/>
  <c r="AN249" i="58" s="1"/>
  <c r="AV178" i="58"/>
  <c r="AV237" i="58" s="1"/>
  <c r="AN252" i="58" s="1"/>
  <c r="AV53" i="58"/>
  <c r="AV180" i="58"/>
  <c r="AV239" i="58" s="1"/>
  <c r="AN254" i="58" s="1"/>
  <c r="AV181" i="58"/>
  <c r="AV240" i="58" s="1"/>
  <c r="AN255" i="58" s="1"/>
  <c r="AV179" i="58"/>
  <c r="AV238" i="58" s="1"/>
  <c r="AN253" i="58" s="1"/>
  <c r="AV174" i="58"/>
  <c r="AV233" i="58" s="1"/>
  <c r="AN248" i="58" s="1"/>
  <c r="AV176" i="58"/>
  <c r="AV235" i="58" s="1"/>
  <c r="AN250" i="58" s="1"/>
  <c r="AV177" i="58"/>
  <c r="AV236" i="58" s="1"/>
  <c r="AN251" i="58" s="1"/>
  <c r="AV182" i="58"/>
  <c r="AV241" i="58" s="1"/>
  <c r="AN256" i="58" s="1"/>
  <c r="AV187" i="58"/>
  <c r="AV188" i="58"/>
  <c r="AV189" i="58"/>
  <c r="AV192" i="58"/>
  <c r="AV190" i="58"/>
  <c r="AV194" i="58"/>
  <c r="AV193" i="58"/>
  <c r="AV191" i="58"/>
  <c r="AV186" i="58"/>
  <c r="AU221" i="58"/>
  <c r="AU227" i="58"/>
  <c r="AF32" i="55"/>
  <c r="AB131" i="47"/>
  <c r="AF34" i="55"/>
  <c r="AB128" i="47"/>
  <c r="AG28" i="55"/>
  <c r="AC127" i="47"/>
  <c r="AE27" i="55"/>
  <c r="AA135" i="47"/>
  <c r="AE31" i="55"/>
  <c r="AA129" i="47"/>
  <c r="AF33" i="55"/>
  <c r="AB130" i="47"/>
  <c r="AE36" i="55"/>
  <c r="AA133" i="47"/>
  <c r="AF37" i="55"/>
  <c r="AB134" i="47"/>
  <c r="AA145" i="56" l="1"/>
  <c r="X95" i="47" s="1"/>
  <c r="AE119" i="56"/>
  <c r="AA147" i="56"/>
  <c r="AE121" i="56"/>
  <c r="W97" i="47"/>
  <c r="AA186" i="56"/>
  <c r="AA144" i="56"/>
  <c r="X94" i="47" s="1"/>
  <c r="AE118" i="56"/>
  <c r="AA142" i="56"/>
  <c r="X92" i="47" s="1"/>
  <c r="AE116" i="56"/>
  <c r="AA140" i="56"/>
  <c r="X90" i="47" s="1"/>
  <c r="AE114" i="56"/>
  <c r="AA143" i="56"/>
  <c r="X93" i="47" s="1"/>
  <c r="AE117" i="56"/>
  <c r="AB137" i="56"/>
  <c r="Y87" i="47" s="1"/>
  <c r="AF111" i="56"/>
  <c r="AC149" i="56"/>
  <c r="AG123" i="56"/>
  <c r="AA139" i="56"/>
  <c r="X89" i="47" s="1"/>
  <c r="AE113" i="56"/>
  <c r="AC188" i="56"/>
  <c r="Y99" i="47"/>
  <c r="AA146" i="56"/>
  <c r="X96" i="47" s="1"/>
  <c r="AE120" i="56"/>
  <c r="AA141" i="56"/>
  <c r="X91" i="47" s="1"/>
  <c r="AE115" i="56"/>
  <c r="AV220" i="58"/>
  <c r="AN258" i="58" s="1"/>
  <c r="AU245" i="58"/>
  <c r="AV227" i="58"/>
  <c r="AN265" i="58" s="1"/>
  <c r="AO265" i="58" s="1"/>
  <c r="AV225" i="58"/>
  <c r="AN263" i="58" s="1"/>
  <c r="AO263" i="58" s="1"/>
  <c r="AV226" i="58"/>
  <c r="AN264" i="58" s="1"/>
  <c r="AO264" i="58" s="1"/>
  <c r="AV223" i="58"/>
  <c r="AN261" i="58" s="1"/>
  <c r="AO261" i="58" s="1"/>
  <c r="AV224" i="58"/>
  <c r="AN262" i="58" s="1"/>
  <c r="AO262" i="58" s="1"/>
  <c r="AO252" i="58"/>
  <c r="AK115" i="47"/>
  <c r="AO249" i="58"/>
  <c r="AK111" i="47"/>
  <c r="AV222" i="58"/>
  <c r="AN260" i="58" s="1"/>
  <c r="AV221" i="58"/>
  <c r="AN259" i="58" s="1"/>
  <c r="AO256" i="58"/>
  <c r="AK114" i="47"/>
  <c r="AO250" i="58"/>
  <c r="AK112" i="47"/>
  <c r="AO248" i="58"/>
  <c r="AK109" i="47"/>
  <c r="AK117" i="47"/>
  <c r="AO253" i="58"/>
  <c r="AO255" i="58"/>
  <c r="AK116" i="47"/>
  <c r="AO251" i="58"/>
  <c r="AK113" i="47"/>
  <c r="AV228" i="58"/>
  <c r="AN266" i="58" s="1"/>
  <c r="AO254" i="58"/>
  <c r="AK110" i="47"/>
  <c r="AF31" i="55"/>
  <c r="AB129" i="47"/>
  <c r="AG32" i="55"/>
  <c r="AC131" i="47"/>
  <c r="AD127" i="47"/>
  <c r="AH28" i="55"/>
  <c r="AF27" i="55"/>
  <c r="AB135" i="47"/>
  <c r="AC128" i="47"/>
  <c r="AG34" i="55"/>
  <c r="AF36" i="55"/>
  <c r="AB133" i="47"/>
  <c r="AG33" i="55"/>
  <c r="AC130" i="47"/>
  <c r="AC134" i="47"/>
  <c r="AG37" i="55"/>
  <c r="AB144" i="56" l="1"/>
  <c r="Y94" i="47" s="1"/>
  <c r="AF118" i="56"/>
  <c r="AB139" i="56"/>
  <c r="Y89" i="47" s="1"/>
  <c r="AF113" i="56"/>
  <c r="AB141" i="56"/>
  <c r="Y91" i="47" s="1"/>
  <c r="AF115" i="56"/>
  <c r="AC137" i="56"/>
  <c r="Z87" i="47" s="1"/>
  <c r="AG111" i="56"/>
  <c r="AB146" i="56"/>
  <c r="Y96" i="47" s="1"/>
  <c r="AF120" i="56"/>
  <c r="AB143" i="56"/>
  <c r="Y93" i="47" s="1"/>
  <c r="AF117" i="56"/>
  <c r="AB147" i="56"/>
  <c r="AF121" i="56"/>
  <c r="AD188" i="56"/>
  <c r="Z99" i="47"/>
  <c r="X97" i="47"/>
  <c r="AB186" i="56"/>
  <c r="AB142" i="56"/>
  <c r="Y92" i="47" s="1"/>
  <c r="AF116" i="56"/>
  <c r="AD149" i="56"/>
  <c r="AH123" i="56"/>
  <c r="AB140" i="56"/>
  <c r="Y90" i="47" s="1"/>
  <c r="AF114" i="56"/>
  <c r="AB145" i="56"/>
  <c r="Y95" i="47" s="1"/>
  <c r="AF119" i="56"/>
  <c r="AK125" i="47"/>
  <c r="AK126" i="47"/>
  <c r="AV245" i="58"/>
  <c r="AK122" i="47"/>
  <c r="AK119" i="47"/>
  <c r="AK124" i="47"/>
  <c r="AP253" i="58"/>
  <c r="AM117" i="47" s="1"/>
  <c r="AL117" i="47"/>
  <c r="AO259" i="58"/>
  <c r="AK120" i="47"/>
  <c r="AO260" i="58"/>
  <c r="AK121" i="47"/>
  <c r="AL126" i="47"/>
  <c r="AP263" i="58"/>
  <c r="AM126" i="47" s="1"/>
  <c r="AP249" i="58"/>
  <c r="AM111" i="47" s="1"/>
  <c r="AL111" i="47"/>
  <c r="AP254" i="58"/>
  <c r="AM110" i="47" s="1"/>
  <c r="AL110" i="47"/>
  <c r="AO266" i="58"/>
  <c r="AK123" i="47"/>
  <c r="AP248" i="58"/>
  <c r="AM109" i="47" s="1"/>
  <c r="AL109" i="47"/>
  <c r="AP261" i="58"/>
  <c r="AM122" i="47" s="1"/>
  <c r="AL122" i="47"/>
  <c r="AP262" i="58"/>
  <c r="AM124" i="47" s="1"/>
  <c r="AL124" i="47"/>
  <c r="AL113" i="47"/>
  <c r="AP251" i="58"/>
  <c r="AM113" i="47" s="1"/>
  <c r="AO258" i="58"/>
  <c r="AK118" i="47"/>
  <c r="AP255" i="58"/>
  <c r="AM116" i="47" s="1"/>
  <c r="AL116" i="47"/>
  <c r="AP250" i="58"/>
  <c r="AM112" i="47" s="1"/>
  <c r="AL112" i="47"/>
  <c r="AL115" i="47"/>
  <c r="AP252" i="58"/>
  <c r="AM115" i="47" s="1"/>
  <c r="AP264" i="58"/>
  <c r="AM119" i="47" s="1"/>
  <c r="AL119" i="47"/>
  <c r="AP265" i="58"/>
  <c r="AM125" i="47" s="1"/>
  <c r="AL125" i="47"/>
  <c r="AL114" i="47"/>
  <c r="AP256" i="58"/>
  <c r="AM114" i="47" s="1"/>
  <c r="AH34" i="55"/>
  <c r="AD128" i="47"/>
  <c r="AG27" i="55"/>
  <c r="AC135" i="47"/>
  <c r="AH32" i="55"/>
  <c r="AD131" i="47"/>
  <c r="AC133" i="47"/>
  <c r="AG36" i="55"/>
  <c r="AC129" i="47"/>
  <c r="AG31" i="55"/>
  <c r="AH37" i="55"/>
  <c r="AD134" i="47"/>
  <c r="AI28" i="55"/>
  <c r="AE127" i="47"/>
  <c r="AH33" i="55"/>
  <c r="AD130" i="47"/>
  <c r="AC146" i="56" l="1"/>
  <c r="Z96" i="47" s="1"/>
  <c r="AG120" i="56"/>
  <c r="AC145" i="56"/>
  <c r="Z95" i="47" s="1"/>
  <c r="AG119" i="56"/>
  <c r="AC147" i="56"/>
  <c r="AG121" i="56"/>
  <c r="AD137" i="56"/>
  <c r="AA87" i="47" s="1"/>
  <c r="AH111" i="56"/>
  <c r="Y97" i="47"/>
  <c r="AC186" i="56"/>
  <c r="AC140" i="56"/>
  <c r="Z90" i="47" s="1"/>
  <c r="AG114" i="56"/>
  <c r="AC143" i="56"/>
  <c r="Z93" i="47" s="1"/>
  <c r="AG117" i="56"/>
  <c r="AC141" i="56"/>
  <c r="Z91" i="47" s="1"/>
  <c r="AG115" i="56"/>
  <c r="AE149" i="56"/>
  <c r="AI123" i="56"/>
  <c r="AC139" i="56"/>
  <c r="Z89" i="47" s="1"/>
  <c r="AG113" i="56"/>
  <c r="AE188" i="56"/>
  <c r="AA99" i="47"/>
  <c r="AC142" i="56"/>
  <c r="Z92" i="47" s="1"/>
  <c r="AG116" i="56"/>
  <c r="AC144" i="56"/>
  <c r="Z94" i="47" s="1"/>
  <c r="AG118" i="56"/>
  <c r="AL118" i="47"/>
  <c r="AP258" i="58"/>
  <c r="AM118" i="47" s="1"/>
  <c r="AP260" i="58"/>
  <c r="AM121" i="47" s="1"/>
  <c r="AL121" i="47"/>
  <c r="AL120" i="47"/>
  <c r="AP259" i="58"/>
  <c r="AM120" i="47" s="1"/>
  <c r="AP266" i="58"/>
  <c r="AM123" i="47" s="1"/>
  <c r="AL123" i="47"/>
  <c r="AH36" i="55"/>
  <c r="AD133" i="47"/>
  <c r="AD129" i="47"/>
  <c r="AH31" i="55"/>
  <c r="AI32" i="55"/>
  <c r="AE131" i="47"/>
  <c r="AI34" i="55"/>
  <c r="AE128" i="47"/>
  <c r="AH27" i="55"/>
  <c r="AD135" i="47"/>
  <c r="AJ28" i="55"/>
  <c r="AF127" i="47"/>
  <c r="AI37" i="55"/>
  <c r="AE134" i="47"/>
  <c r="AE130" i="47"/>
  <c r="AI33" i="55"/>
  <c r="AI111" i="56" l="1"/>
  <c r="AE137" i="56"/>
  <c r="AB87" i="47" s="1"/>
  <c r="AD147" i="56"/>
  <c r="AH121" i="56"/>
  <c r="Z97" i="47"/>
  <c r="AD186" i="56"/>
  <c r="AD144" i="56"/>
  <c r="AA94" i="47" s="1"/>
  <c r="AH118" i="56"/>
  <c r="AH115" i="56"/>
  <c r="AD141" i="56"/>
  <c r="AA91" i="47" s="1"/>
  <c r="AD145" i="56"/>
  <c r="AA95" i="47" s="1"/>
  <c r="AH119" i="56"/>
  <c r="AF149" i="56"/>
  <c r="AJ123" i="56"/>
  <c r="AD142" i="56"/>
  <c r="AA92" i="47" s="1"/>
  <c r="AH116" i="56"/>
  <c r="AD143" i="56"/>
  <c r="AA93" i="47" s="1"/>
  <c r="AH117" i="56"/>
  <c r="AH120" i="56"/>
  <c r="AD146" i="56"/>
  <c r="AA96" i="47" s="1"/>
  <c r="AD140" i="56"/>
  <c r="AA90" i="47" s="1"/>
  <c r="AH114" i="56"/>
  <c r="AD139" i="56"/>
  <c r="AA89" i="47" s="1"/>
  <c r="AH113" i="56"/>
  <c r="AB99" i="47"/>
  <c r="AF188" i="56"/>
  <c r="AI31" i="55"/>
  <c r="AE129" i="47"/>
  <c r="AF134" i="47"/>
  <c r="AJ37" i="55"/>
  <c r="AJ34" i="55"/>
  <c r="AF128" i="47"/>
  <c r="AE135" i="47"/>
  <c r="AI27" i="55"/>
  <c r="AF131" i="47"/>
  <c r="AJ32" i="55"/>
  <c r="AK28" i="55"/>
  <c r="AG127" i="47"/>
  <c r="AE133" i="47"/>
  <c r="AI36" i="55"/>
  <c r="AF130" i="47"/>
  <c r="AJ33" i="55"/>
  <c r="AE144" i="56" l="1"/>
  <c r="AB94" i="47" s="1"/>
  <c r="AI118" i="56"/>
  <c r="AK123" i="56"/>
  <c r="AG149" i="56"/>
  <c r="AC99" i="47"/>
  <c r="AG188" i="56"/>
  <c r="AE143" i="56"/>
  <c r="AB93" i="47" s="1"/>
  <c r="AI117" i="56"/>
  <c r="AE139" i="56"/>
  <c r="AB89" i="47" s="1"/>
  <c r="AI113" i="56"/>
  <c r="AE145" i="56"/>
  <c r="AB95" i="47" s="1"/>
  <c r="AI119" i="56"/>
  <c r="AE147" i="56"/>
  <c r="AI121" i="56"/>
  <c r="AA97" i="47"/>
  <c r="AE186" i="56"/>
  <c r="AE142" i="56"/>
  <c r="AB92" i="47" s="1"/>
  <c r="AI116" i="56"/>
  <c r="AI115" i="56"/>
  <c r="AE141" i="56"/>
  <c r="AB91" i="47" s="1"/>
  <c r="AE140" i="56"/>
  <c r="AB90" i="47" s="1"/>
  <c r="AI114" i="56"/>
  <c r="AE146" i="56"/>
  <c r="AB96" i="47" s="1"/>
  <c r="AI120" i="56"/>
  <c r="AJ111" i="56"/>
  <c r="AF137" i="56"/>
  <c r="AC87" i="47" s="1"/>
  <c r="AK32" i="55"/>
  <c r="AG131" i="47"/>
  <c r="AF135" i="47"/>
  <c r="AJ27" i="55"/>
  <c r="AK37" i="55"/>
  <c r="AG134" i="47"/>
  <c r="AJ36" i="55"/>
  <c r="AF133" i="47"/>
  <c r="AL28" i="55"/>
  <c r="AH127" i="47"/>
  <c r="AJ31" i="55"/>
  <c r="AF129" i="47"/>
  <c r="AK33" i="55"/>
  <c r="AG130" i="47"/>
  <c r="AG128" i="47"/>
  <c r="AK34" i="55"/>
  <c r="AF142" i="56" l="1"/>
  <c r="AC92" i="47" s="1"/>
  <c r="AJ116" i="56"/>
  <c r="AF143" i="56"/>
  <c r="AC93" i="47" s="1"/>
  <c r="AJ117" i="56"/>
  <c r="AJ120" i="56"/>
  <c r="AF146" i="56"/>
  <c r="AC96" i="47" s="1"/>
  <c r="AG137" i="56"/>
  <c r="AD87" i="47" s="1"/>
  <c r="AK111" i="56"/>
  <c r="AD99" i="47"/>
  <c r="AH188" i="56"/>
  <c r="AJ115" i="56"/>
  <c r="AF141" i="56"/>
  <c r="AC91" i="47" s="1"/>
  <c r="AJ114" i="56"/>
  <c r="AF140" i="56"/>
  <c r="AC90" i="47" s="1"/>
  <c r="AH149" i="56"/>
  <c r="AL123" i="56"/>
  <c r="AJ119" i="56"/>
  <c r="AF145" i="56"/>
  <c r="AC95" i="47" s="1"/>
  <c r="AJ113" i="56"/>
  <c r="AF139" i="56"/>
  <c r="AC89" i="47" s="1"/>
  <c r="AF147" i="56"/>
  <c r="AJ121" i="56"/>
  <c r="AF144" i="56"/>
  <c r="AC94" i="47" s="1"/>
  <c r="AJ118" i="56"/>
  <c r="AB97" i="47"/>
  <c r="AF186" i="56"/>
  <c r="AG135" i="47"/>
  <c r="AK27" i="55"/>
  <c r="AM28" i="55"/>
  <c r="AI127" i="47"/>
  <c r="AK36" i="55"/>
  <c r="AG133" i="47"/>
  <c r="AL32" i="55"/>
  <c r="AH131" i="47"/>
  <c r="AL33" i="55"/>
  <c r="AH130" i="47"/>
  <c r="AK31" i="55"/>
  <c r="AG129" i="47"/>
  <c r="AL37" i="55"/>
  <c r="AH134" i="47"/>
  <c r="AH128" i="47"/>
  <c r="AL34" i="55"/>
  <c r="AM123" i="56" l="1"/>
  <c r="AI149" i="56"/>
  <c r="AE99" i="47"/>
  <c r="AI188" i="56"/>
  <c r="AK114" i="56"/>
  <c r="AG140" i="56"/>
  <c r="AD90" i="47" s="1"/>
  <c r="AG146" i="56"/>
  <c r="AD96" i="47" s="1"/>
  <c r="AK120" i="56"/>
  <c r="AK121" i="56"/>
  <c r="AG147" i="56"/>
  <c r="AG143" i="56"/>
  <c r="AD93" i="47" s="1"/>
  <c r="AK117" i="56"/>
  <c r="AG144" i="56"/>
  <c r="AD94" i="47" s="1"/>
  <c r="AK118" i="56"/>
  <c r="AC97" i="47"/>
  <c r="AG186" i="56"/>
  <c r="AL111" i="56"/>
  <c r="AH137" i="56"/>
  <c r="AE87" i="47" s="1"/>
  <c r="AK116" i="56"/>
  <c r="AG142" i="56"/>
  <c r="AD92" i="47" s="1"/>
  <c r="AG139" i="56"/>
  <c r="AD89" i="47" s="1"/>
  <c r="AK113" i="56"/>
  <c r="AG145" i="56"/>
  <c r="AD95" i="47" s="1"/>
  <c r="AK119" i="56"/>
  <c r="AG141" i="56"/>
  <c r="AD91" i="47" s="1"/>
  <c r="AK115" i="56"/>
  <c r="AM32" i="55"/>
  <c r="AI131" i="47"/>
  <c r="AL31" i="55"/>
  <c r="AH129" i="47"/>
  <c r="AL36" i="55"/>
  <c r="AH133" i="47"/>
  <c r="AH135" i="47"/>
  <c r="AL27" i="55"/>
  <c r="AI134" i="47"/>
  <c r="AM37" i="55"/>
  <c r="AI130" i="47"/>
  <c r="AM33" i="55"/>
  <c r="AN28" i="55"/>
  <c r="AJ127" i="47"/>
  <c r="AM34" i="55"/>
  <c r="AI128" i="47"/>
  <c r="AM111" i="56" l="1"/>
  <c r="AI137" i="56"/>
  <c r="AF87" i="47" s="1"/>
  <c r="AL114" i="56"/>
  <c r="AH140" i="56"/>
  <c r="AE90" i="47" s="1"/>
  <c r="AH141" i="56"/>
  <c r="AE91" i="47" s="1"/>
  <c r="AL115" i="56"/>
  <c r="AH146" i="56"/>
  <c r="AE96" i="47" s="1"/>
  <c r="AL120" i="56"/>
  <c r="AH144" i="56"/>
  <c r="AE94" i="47" s="1"/>
  <c r="AL118" i="56"/>
  <c r="AH142" i="56"/>
  <c r="AE92" i="47" s="1"/>
  <c r="AL116" i="56"/>
  <c r="AH145" i="56"/>
  <c r="AE95" i="47" s="1"/>
  <c r="AL119" i="56"/>
  <c r="AL117" i="56"/>
  <c r="AH143" i="56"/>
  <c r="AE93" i="47" s="1"/>
  <c r="AH139" i="56"/>
  <c r="AE89" i="47" s="1"/>
  <c r="AL113" i="56"/>
  <c r="AD97" i="47"/>
  <c r="AH186" i="56"/>
  <c r="AF99" i="47"/>
  <c r="AJ188" i="56"/>
  <c r="AL121" i="56"/>
  <c r="AH147" i="56"/>
  <c r="AN123" i="56"/>
  <c r="AJ149" i="56"/>
  <c r="AI129" i="47"/>
  <c r="AM31" i="55"/>
  <c r="AN32" i="55"/>
  <c r="AJ131" i="47"/>
  <c r="AO28" i="55"/>
  <c r="AK127" i="47"/>
  <c r="AN37" i="55"/>
  <c r="AJ134" i="47"/>
  <c r="AI135" i="47"/>
  <c r="AM27" i="55"/>
  <c r="AN34" i="55"/>
  <c r="AJ128" i="47"/>
  <c r="AN33" i="55"/>
  <c r="AJ130" i="47"/>
  <c r="AM36" i="55"/>
  <c r="AI133" i="47"/>
  <c r="AM117" i="56" l="1"/>
  <c r="AI143" i="56"/>
  <c r="AF93" i="47" s="1"/>
  <c r="AG99" i="47"/>
  <c r="AK188" i="56"/>
  <c r="AM119" i="56"/>
  <c r="AI145" i="56"/>
  <c r="AF95" i="47" s="1"/>
  <c r="AM113" i="56"/>
  <c r="AI139" i="56"/>
  <c r="AF89" i="47" s="1"/>
  <c r="AK149" i="56"/>
  <c r="AO123" i="56"/>
  <c r="AM120" i="56"/>
  <c r="AI146" i="56"/>
  <c r="AF96" i="47" s="1"/>
  <c r="AE97" i="47"/>
  <c r="AI186" i="56"/>
  <c r="AM116" i="56"/>
  <c r="AI142" i="56"/>
  <c r="AF92" i="47" s="1"/>
  <c r="AM115" i="56"/>
  <c r="AI141" i="56"/>
  <c r="AF91" i="47" s="1"/>
  <c r="AM114" i="56"/>
  <c r="AI140" i="56"/>
  <c r="AF90" i="47" s="1"/>
  <c r="AM121" i="56"/>
  <c r="AI147" i="56"/>
  <c r="AI144" i="56"/>
  <c r="AF94" i="47" s="1"/>
  <c r="AM118" i="56"/>
  <c r="AJ137" i="56"/>
  <c r="AG87" i="47" s="1"/>
  <c r="AN111" i="56"/>
  <c r="AJ129" i="47"/>
  <c r="AN31" i="55"/>
  <c r="AK128" i="47"/>
  <c r="AO34" i="55"/>
  <c r="AP28" i="55"/>
  <c r="AM127" i="47" s="1"/>
  <c r="AL127" i="47"/>
  <c r="AJ135" i="47"/>
  <c r="AN27" i="55"/>
  <c r="AO32" i="55"/>
  <c r="AK131" i="47"/>
  <c r="AJ133" i="47"/>
  <c r="AN36" i="55"/>
  <c r="AO33" i="55"/>
  <c r="AK130" i="47"/>
  <c r="AO37" i="55"/>
  <c r="AK134" i="47"/>
  <c r="AH99" i="47" l="1"/>
  <c r="AL188" i="56"/>
  <c r="AL149" i="56"/>
  <c r="AP123" i="56"/>
  <c r="AQ123" i="56" s="1"/>
  <c r="AR123" i="56" s="1"/>
  <c r="AS123" i="56" s="1"/>
  <c r="AT123" i="56" s="1"/>
  <c r="AJ139" i="56"/>
  <c r="AG89" i="47" s="1"/>
  <c r="AN113" i="56"/>
  <c r="AJ142" i="56"/>
  <c r="AG92" i="47" s="1"/>
  <c r="AN116" i="56"/>
  <c r="AJ145" i="56"/>
  <c r="AG95" i="47" s="1"/>
  <c r="AN119" i="56"/>
  <c r="AN115" i="56"/>
  <c r="AJ141" i="56"/>
  <c r="AG91" i="47" s="1"/>
  <c r="AJ144" i="56"/>
  <c r="AG94" i="47" s="1"/>
  <c r="AN118" i="56"/>
  <c r="AF97" i="47"/>
  <c r="AJ186" i="56"/>
  <c r="AJ147" i="56"/>
  <c r="AN121" i="56"/>
  <c r="AJ146" i="56"/>
  <c r="AG96" i="47" s="1"/>
  <c r="AN120" i="56"/>
  <c r="AK137" i="56"/>
  <c r="AH87" i="47" s="1"/>
  <c r="AO111" i="56"/>
  <c r="AJ140" i="56"/>
  <c r="AG90" i="47" s="1"/>
  <c r="AN114" i="56"/>
  <c r="AN117" i="56"/>
  <c r="AJ143" i="56"/>
  <c r="AG93" i="47" s="1"/>
  <c r="AO27" i="55"/>
  <c r="AK135" i="47"/>
  <c r="AO36" i="55"/>
  <c r="AK133" i="47"/>
  <c r="AP37" i="55"/>
  <c r="AM134" i="47" s="1"/>
  <c r="AL134" i="47"/>
  <c r="AK129" i="47"/>
  <c r="AO31" i="55"/>
  <c r="AP33" i="55"/>
  <c r="AM130" i="47" s="1"/>
  <c r="AL130" i="47"/>
  <c r="AP32" i="55"/>
  <c r="AM131" i="47" s="1"/>
  <c r="AL131" i="47"/>
  <c r="AP34" i="55"/>
  <c r="AM128" i="47" s="1"/>
  <c r="AL128" i="47"/>
  <c r="AK142" i="56" l="1"/>
  <c r="AH92" i="47" s="1"/>
  <c r="AO116" i="56"/>
  <c r="AK147" i="56"/>
  <c r="AO121" i="56"/>
  <c r="AK143" i="56"/>
  <c r="AH93" i="47" s="1"/>
  <c r="AO117" i="56"/>
  <c r="AK140" i="56"/>
  <c r="AH90" i="47" s="1"/>
  <c r="AO114" i="56"/>
  <c r="AK144" i="56"/>
  <c r="AH94" i="47" s="1"/>
  <c r="AO118" i="56"/>
  <c r="AK139" i="56"/>
  <c r="AH89" i="47" s="1"/>
  <c r="AO113" i="56"/>
  <c r="AM149" i="56"/>
  <c r="AU123" i="56"/>
  <c r="AV123" i="56" s="1"/>
  <c r="AW123" i="56" s="1"/>
  <c r="AX123" i="56" s="1"/>
  <c r="AY123" i="56" s="1"/>
  <c r="AG97" i="47"/>
  <c r="AK186" i="56"/>
  <c r="AK141" i="56"/>
  <c r="AH91" i="47" s="1"/>
  <c r="AO115" i="56"/>
  <c r="AM188" i="56"/>
  <c r="AI99" i="47"/>
  <c r="AL137" i="56"/>
  <c r="AI87" i="47" s="1"/>
  <c r="AP111" i="56"/>
  <c r="AQ111" i="56" s="1"/>
  <c r="AR111" i="56" s="1"/>
  <c r="AS111" i="56" s="1"/>
  <c r="AT111" i="56" s="1"/>
  <c r="AK145" i="56"/>
  <c r="AH95" i="47" s="1"/>
  <c r="AO119" i="56"/>
  <c r="AK146" i="56"/>
  <c r="AH96" i="47" s="1"/>
  <c r="AO120" i="56"/>
  <c r="AP31" i="55"/>
  <c r="AM129" i="47" s="1"/>
  <c r="AL129" i="47"/>
  <c r="AP27" i="55"/>
  <c r="AM135" i="47" s="1"/>
  <c r="AL135" i="47"/>
  <c r="AL133" i="47"/>
  <c r="AP36" i="55"/>
  <c r="AM133" i="47" s="1"/>
  <c r="AL147" i="56" l="1"/>
  <c r="AP121" i="56"/>
  <c r="AQ121" i="56" s="1"/>
  <c r="AR121" i="56" s="1"/>
  <c r="AS121" i="56" s="1"/>
  <c r="AT121" i="56" s="1"/>
  <c r="AH97" i="47"/>
  <c r="AL186" i="56"/>
  <c r="AZ123" i="56"/>
  <c r="AN149" i="56"/>
  <c r="AL143" i="56"/>
  <c r="AI93" i="47" s="1"/>
  <c r="AP117" i="56"/>
  <c r="AQ117" i="56" s="1"/>
  <c r="AR117" i="56" s="1"/>
  <c r="AS117" i="56" s="1"/>
  <c r="AT117" i="56" s="1"/>
  <c r="AN188" i="56"/>
  <c r="AJ99" i="47"/>
  <c r="AL145" i="56"/>
  <c r="AI95" i="47" s="1"/>
  <c r="AP119" i="56"/>
  <c r="AQ119" i="56" s="1"/>
  <c r="AR119" i="56" s="1"/>
  <c r="AS119" i="56" s="1"/>
  <c r="AT119" i="56" s="1"/>
  <c r="AL139" i="56"/>
  <c r="AI89" i="47" s="1"/>
  <c r="AP113" i="56"/>
  <c r="AQ113" i="56" s="1"/>
  <c r="AR113" i="56" s="1"/>
  <c r="AS113" i="56" s="1"/>
  <c r="AT113" i="56" s="1"/>
  <c r="AL140" i="56"/>
  <c r="AI90" i="47" s="1"/>
  <c r="AP114" i="56"/>
  <c r="AQ114" i="56" s="1"/>
  <c r="AR114" i="56" s="1"/>
  <c r="AS114" i="56" s="1"/>
  <c r="AT114" i="56" s="1"/>
  <c r="AL141" i="56"/>
  <c r="AI91" i="47" s="1"/>
  <c r="AP115" i="56"/>
  <c r="AQ115" i="56" s="1"/>
  <c r="AR115" i="56" s="1"/>
  <c r="AS115" i="56" s="1"/>
  <c r="AT115" i="56" s="1"/>
  <c r="AM137" i="56"/>
  <c r="AJ87" i="47" s="1"/>
  <c r="AU111" i="56"/>
  <c r="AV111" i="56" s="1"/>
  <c r="AW111" i="56" s="1"/>
  <c r="AX111" i="56" s="1"/>
  <c r="AY111" i="56" s="1"/>
  <c r="AL144" i="56"/>
  <c r="AI94" i="47" s="1"/>
  <c r="AP118" i="56"/>
  <c r="AQ118" i="56" s="1"/>
  <c r="AR118" i="56" s="1"/>
  <c r="AS118" i="56" s="1"/>
  <c r="AT118" i="56" s="1"/>
  <c r="AL142" i="56"/>
  <c r="AI92" i="47" s="1"/>
  <c r="AP116" i="56"/>
  <c r="AQ116" i="56" s="1"/>
  <c r="AR116" i="56" s="1"/>
  <c r="AS116" i="56" s="1"/>
  <c r="AT116" i="56" s="1"/>
  <c r="AL146" i="56"/>
  <c r="AI96" i="47" s="1"/>
  <c r="AP120" i="56"/>
  <c r="AQ120" i="56" s="1"/>
  <c r="AR120" i="56" s="1"/>
  <c r="AS120" i="56" s="1"/>
  <c r="AT120" i="56" s="1"/>
  <c r="AM143" i="56" l="1"/>
  <c r="AJ93" i="47" s="1"/>
  <c r="AU117" i="56"/>
  <c r="AV117" i="56" s="1"/>
  <c r="AW117" i="56" s="1"/>
  <c r="AX117" i="56" s="1"/>
  <c r="AY117" i="56" s="1"/>
  <c r="AM139" i="56"/>
  <c r="AJ89" i="47" s="1"/>
  <c r="AU113" i="56"/>
  <c r="AV113" i="56" s="1"/>
  <c r="AW113" i="56" s="1"/>
  <c r="AX113" i="56" s="1"/>
  <c r="AY113" i="56" s="1"/>
  <c r="AO188" i="56"/>
  <c r="AK99" i="47"/>
  <c r="AO149" i="56"/>
  <c r="BA123" i="56"/>
  <c r="AP149" i="56" s="1"/>
  <c r="AM140" i="56"/>
  <c r="AJ90" i="47" s="1"/>
  <c r="AU114" i="56"/>
  <c r="AV114" i="56" s="1"/>
  <c r="AW114" i="56" s="1"/>
  <c r="AX114" i="56" s="1"/>
  <c r="AY114" i="56" s="1"/>
  <c r="AM146" i="56"/>
  <c r="AJ96" i="47" s="1"/>
  <c r="AU120" i="56"/>
  <c r="AV120" i="56" s="1"/>
  <c r="AW120" i="56" s="1"/>
  <c r="AX120" i="56" s="1"/>
  <c r="AY120" i="56" s="1"/>
  <c r="AM145" i="56"/>
  <c r="AJ95" i="47" s="1"/>
  <c r="AU119" i="56"/>
  <c r="AV119" i="56" s="1"/>
  <c r="AW119" i="56" s="1"/>
  <c r="AX119" i="56" s="1"/>
  <c r="AY119" i="56" s="1"/>
  <c r="AM142" i="56"/>
  <c r="AJ92" i="47" s="1"/>
  <c r="AU116" i="56"/>
  <c r="AV116" i="56" s="1"/>
  <c r="AW116" i="56" s="1"/>
  <c r="AX116" i="56" s="1"/>
  <c r="AY116" i="56" s="1"/>
  <c r="AM147" i="56"/>
  <c r="AU121" i="56"/>
  <c r="AV121" i="56" s="1"/>
  <c r="AW121" i="56" s="1"/>
  <c r="AX121" i="56" s="1"/>
  <c r="AY121" i="56" s="1"/>
  <c r="AM144" i="56"/>
  <c r="AJ94" i="47" s="1"/>
  <c r="AU118" i="56"/>
  <c r="AV118" i="56" s="1"/>
  <c r="AW118" i="56" s="1"/>
  <c r="AX118" i="56" s="1"/>
  <c r="AY118" i="56" s="1"/>
  <c r="AI97" i="47"/>
  <c r="AM186" i="56"/>
  <c r="AM141" i="56"/>
  <c r="AJ91" i="47" s="1"/>
  <c r="AU115" i="56"/>
  <c r="AV115" i="56" s="1"/>
  <c r="AW115" i="56" s="1"/>
  <c r="AX115" i="56" s="1"/>
  <c r="AY115" i="56" s="1"/>
  <c r="AZ111" i="56"/>
  <c r="AN137" i="56"/>
  <c r="AK87" i="47" s="1"/>
  <c r="AL99" i="47" l="1"/>
  <c r="AP188" i="56"/>
  <c r="AZ118" i="56"/>
  <c r="AN144" i="56"/>
  <c r="AK94" i="47" s="1"/>
  <c r="AN147" i="56"/>
  <c r="AZ121" i="56"/>
  <c r="AM99" i="47"/>
  <c r="AQ188" i="56"/>
  <c r="AJ97" i="47"/>
  <c r="AN186" i="56"/>
  <c r="AN142" i="56"/>
  <c r="AK92" i="47" s="1"/>
  <c r="AZ116" i="56"/>
  <c r="AZ113" i="56"/>
  <c r="AN139" i="56"/>
  <c r="AK89" i="47" s="1"/>
  <c r="AO137" i="56"/>
  <c r="AL87" i="47" s="1"/>
  <c r="BA111" i="56"/>
  <c r="AP137" i="56" s="1"/>
  <c r="AM87" i="47" s="1"/>
  <c r="AN145" i="56"/>
  <c r="AK95" i="47" s="1"/>
  <c r="AZ119" i="56"/>
  <c r="AN143" i="56"/>
  <c r="AK93" i="47" s="1"/>
  <c r="AZ117" i="56"/>
  <c r="AZ115" i="56"/>
  <c r="AN141" i="56"/>
  <c r="AK91" i="47" s="1"/>
  <c r="AZ120" i="56"/>
  <c r="AN146" i="56"/>
  <c r="AK96" i="47" s="1"/>
  <c r="AZ114" i="56"/>
  <c r="AN140" i="56"/>
  <c r="AK90" i="47" s="1"/>
  <c r="AO145" i="56" l="1"/>
  <c r="AL95" i="47" s="1"/>
  <c r="BA119" i="56"/>
  <c r="AP145" i="56" s="1"/>
  <c r="AM95" i="47" s="1"/>
  <c r="AO147" i="56"/>
  <c r="BA121" i="56"/>
  <c r="AP147" i="56" s="1"/>
  <c r="BA114" i="56"/>
  <c r="AP140" i="56" s="1"/>
  <c r="AM90" i="47" s="1"/>
  <c r="AO140" i="56"/>
  <c r="AL90" i="47" s="1"/>
  <c r="BA120" i="56"/>
  <c r="AP146" i="56" s="1"/>
  <c r="AM96" i="47" s="1"/>
  <c r="AO146" i="56"/>
  <c r="AL96" i="47" s="1"/>
  <c r="AK97" i="47"/>
  <c r="AO186" i="56"/>
  <c r="AO144" i="56"/>
  <c r="AL94" i="47" s="1"/>
  <c r="BA118" i="56"/>
  <c r="AP144" i="56" s="1"/>
  <c r="AM94" i="47" s="1"/>
  <c r="BA116" i="56"/>
  <c r="AP142" i="56" s="1"/>
  <c r="AM92" i="47" s="1"/>
  <c r="AO142" i="56"/>
  <c r="AL92" i="47" s="1"/>
  <c r="AO141" i="56"/>
  <c r="AL91" i="47" s="1"/>
  <c r="BA115" i="56"/>
  <c r="AP141" i="56" s="1"/>
  <c r="AM91" i="47" s="1"/>
  <c r="AO143" i="56"/>
  <c r="AL93" i="47" s="1"/>
  <c r="BA117" i="56"/>
  <c r="AP143" i="56" s="1"/>
  <c r="AM93" i="47" s="1"/>
  <c r="BA113" i="56"/>
  <c r="AP139" i="56" s="1"/>
  <c r="AM89" i="47" s="1"/>
  <c r="AO139" i="56"/>
  <c r="AL89" i="47" s="1"/>
  <c r="AN48" i="29"/>
  <c r="AO48" i="29" s="1"/>
  <c r="AN49" i="29"/>
  <c r="AK85" i="47" s="1"/>
  <c r="AN50" i="29"/>
  <c r="AM50" i="29" s="1"/>
  <c r="AJ86" i="47" s="1"/>
  <c r="AN51" i="29"/>
  <c r="AK108" i="47" s="1"/>
  <c r="AN47" i="29"/>
  <c r="AK83" i="47" s="1"/>
  <c r="AM97" i="47" l="1"/>
  <c r="AQ186" i="56"/>
  <c r="AL97" i="47"/>
  <c r="AP186" i="56"/>
  <c r="AM49" i="29"/>
  <c r="AJ85" i="47" s="1"/>
  <c r="AO50" i="29"/>
  <c r="AK86" i="47"/>
  <c r="AO47" i="29"/>
  <c r="AP47" i="29" s="1"/>
  <c r="AM83" i="47" s="1"/>
  <c r="AO49" i="29"/>
  <c r="AL84" i="47"/>
  <c r="AP48" i="29"/>
  <c r="AM84" i="47" s="1"/>
  <c r="AO51" i="29"/>
  <c r="AK84" i="47"/>
  <c r="AM51" i="29"/>
  <c r="AJ108" i="47" s="1"/>
  <c r="AM48" i="29"/>
  <c r="AJ84" i="47" s="1"/>
  <c r="AM47" i="29"/>
  <c r="AJ83" i="47" s="1"/>
  <c r="AL83" i="47" l="1"/>
  <c r="AL85" i="47"/>
  <c r="AP49" i="29"/>
  <c r="AM85" i="47" s="1"/>
  <c r="AL86" i="47"/>
  <c r="AP50" i="29"/>
  <c r="AM86" i="47" s="1"/>
  <c r="AP51" i="29"/>
  <c r="AM108" i="47" s="1"/>
  <c r="AL108" i="47"/>
  <c r="T137" i="57" l="1"/>
  <c r="K137" i="57" s="1"/>
  <c r="U137" i="57" l="1"/>
  <c r="L137" i="57" s="1"/>
  <c r="V137" i="57" l="1"/>
  <c r="M137" i="57" s="1"/>
  <c r="C9" i="15" l="1"/>
  <c r="D9" i="15"/>
  <c r="L133" i="55" l="1"/>
  <c r="AN51" i="55"/>
  <c r="AB51" i="55"/>
  <c r="S51" i="55"/>
  <c r="T51" i="55" s="1"/>
  <c r="R51" i="55"/>
  <c r="K51" i="55"/>
  <c r="K211" i="55" s="1"/>
  <c r="J51" i="55"/>
  <c r="J211" i="55" s="1"/>
  <c r="J154" i="55"/>
  <c r="AO45" i="55"/>
  <c r="AN45" i="55"/>
  <c r="AN154" i="55" s="1"/>
  <c r="AC45" i="55"/>
  <c r="AC154" i="55" s="1"/>
  <c r="AB45" i="55"/>
  <c r="AB154" i="55" s="1"/>
  <c r="R45" i="55"/>
  <c r="R154" i="55" s="1"/>
  <c r="J45" i="55"/>
  <c r="K45" i="55" s="1"/>
  <c r="AN50" i="55"/>
  <c r="AN192" i="55" s="1"/>
  <c r="AB50" i="55"/>
  <c r="AB192" i="55" s="1"/>
  <c r="T50" i="55"/>
  <c r="T192" i="55" s="1"/>
  <c r="S50" i="55"/>
  <c r="S192" i="55" s="1"/>
  <c r="R50" i="55"/>
  <c r="R192" i="55" s="1"/>
  <c r="J50" i="55"/>
  <c r="K50" i="55" s="1"/>
  <c r="AO46" i="55"/>
  <c r="AN46" i="55"/>
  <c r="AC46" i="55"/>
  <c r="AB46" i="55"/>
  <c r="S46" i="55"/>
  <c r="R46" i="55"/>
  <c r="K46" i="55"/>
  <c r="K173" i="55" s="1"/>
  <c r="J46" i="55"/>
  <c r="J173" i="55" s="1"/>
  <c r="J47" i="55"/>
  <c r="K47" i="55"/>
  <c r="L47" i="55"/>
  <c r="M47" i="55" s="1"/>
  <c r="N47" i="55" s="1"/>
  <c r="O47" i="55" s="1"/>
  <c r="P47" i="55" s="1"/>
  <c r="Q47" i="55" s="1"/>
  <c r="AD47" i="55"/>
  <c r="AE47" i="55" s="1"/>
  <c r="AF47" i="55" s="1"/>
  <c r="AG47" i="55" s="1"/>
  <c r="AH47" i="55" s="1"/>
  <c r="AI47" i="55" s="1"/>
  <c r="AJ47" i="55" s="1"/>
  <c r="AK47" i="55" s="1"/>
  <c r="AL47" i="55" s="1"/>
  <c r="AM47" i="55" s="1"/>
  <c r="AC47" i="55"/>
  <c r="AB47" i="55"/>
  <c r="R47" i="55"/>
  <c r="S47" i="55" s="1"/>
  <c r="T47" i="55" s="1"/>
  <c r="U47" i="55" s="1"/>
  <c r="V47" i="55" s="1"/>
  <c r="W47" i="55" s="1"/>
  <c r="X47" i="55" s="1"/>
  <c r="Y47" i="55" s="1"/>
  <c r="Z47" i="55" s="1"/>
  <c r="AA47" i="55" s="1"/>
  <c r="AC52" i="55"/>
  <c r="AD52" i="55" s="1"/>
  <c r="AE52" i="55" s="1"/>
  <c r="AF52" i="55" s="1"/>
  <c r="AG52" i="55" s="1"/>
  <c r="AH52" i="55" s="1"/>
  <c r="AI52" i="55" s="1"/>
  <c r="AJ52" i="55" s="1"/>
  <c r="AK52" i="55" s="1"/>
  <c r="AL52" i="55" s="1"/>
  <c r="AM52" i="55" s="1"/>
  <c r="AB52" i="55"/>
  <c r="S52" i="55"/>
  <c r="T52" i="55" s="1"/>
  <c r="U52" i="55" s="1"/>
  <c r="V52" i="55" s="1"/>
  <c r="W52" i="55" s="1"/>
  <c r="X52" i="55" s="1"/>
  <c r="Y52" i="55" s="1"/>
  <c r="Z52" i="55" s="1"/>
  <c r="AA52" i="55" s="1"/>
  <c r="R52" i="55"/>
  <c r="K52" i="55"/>
  <c r="L52" i="55" s="1"/>
  <c r="M52" i="55" s="1"/>
  <c r="N52" i="55" s="1"/>
  <c r="O52" i="55" s="1"/>
  <c r="P52" i="55" s="1"/>
  <c r="Q52" i="55" s="1"/>
  <c r="J52" i="55"/>
  <c r="J42" i="55"/>
  <c r="K42" i="55" s="1"/>
  <c r="J133" i="55"/>
  <c r="AN44" i="55"/>
  <c r="AN133" i="55" s="1"/>
  <c r="AB44" i="55"/>
  <c r="AB133" i="55" s="1"/>
  <c r="S44" i="55"/>
  <c r="S133" i="55" s="1"/>
  <c r="R44" i="55"/>
  <c r="R133" i="55" s="1"/>
  <c r="M44" i="55"/>
  <c r="N44" i="55" s="1"/>
  <c r="L44" i="55"/>
  <c r="K44" i="55"/>
  <c r="K133" i="55" s="1"/>
  <c r="J44" i="55"/>
  <c r="J53" i="55"/>
  <c r="K53" i="55" s="1"/>
  <c r="AO42" i="55"/>
  <c r="AN42" i="55"/>
  <c r="AN91" i="55" s="1"/>
  <c r="AE42" i="55"/>
  <c r="AE91" i="55" s="1"/>
  <c r="AD42" i="55"/>
  <c r="AD91" i="55" s="1"/>
  <c r="AC42" i="55"/>
  <c r="AC91" i="55" s="1"/>
  <c r="AB42" i="55"/>
  <c r="AB91" i="55" s="1"/>
  <c r="S42" i="55"/>
  <c r="S91" i="55" s="1"/>
  <c r="R42" i="55"/>
  <c r="R91" i="55" s="1"/>
  <c r="AB49" i="55"/>
  <c r="AC49" i="55" s="1"/>
  <c r="AD49" i="55" s="1"/>
  <c r="AE49" i="55" s="1"/>
  <c r="AF49" i="55" s="1"/>
  <c r="AG49" i="55" s="1"/>
  <c r="AH49" i="55" s="1"/>
  <c r="AI49" i="55" s="1"/>
  <c r="AJ49" i="55" s="1"/>
  <c r="AK49" i="55" s="1"/>
  <c r="AL49" i="55" s="1"/>
  <c r="AM49" i="55" s="1"/>
  <c r="T49" i="55"/>
  <c r="U49" i="55" s="1"/>
  <c r="V49" i="55" s="1"/>
  <c r="W49" i="55" s="1"/>
  <c r="X49" i="55" s="1"/>
  <c r="Y49" i="55" s="1"/>
  <c r="Z49" i="55" s="1"/>
  <c r="AA49" i="55" s="1"/>
  <c r="S49" i="55"/>
  <c r="R49" i="55"/>
  <c r="J49" i="55"/>
  <c r="K49" i="55" s="1"/>
  <c r="L49" i="55" s="1"/>
  <c r="M49" i="55" s="1"/>
  <c r="N49" i="55" s="1"/>
  <c r="O49" i="55" s="1"/>
  <c r="P49" i="55" s="1"/>
  <c r="Q49" i="55" s="1"/>
  <c r="AN49" i="55"/>
  <c r="AO49" i="55"/>
  <c r="AP49" i="55" s="1"/>
  <c r="AN53" i="55"/>
  <c r="AN230" i="55" s="1"/>
  <c r="AB53" i="55"/>
  <c r="AB230" i="55" s="1"/>
  <c r="U53" i="55"/>
  <c r="U230" i="55" s="1"/>
  <c r="T53" i="55"/>
  <c r="T230" i="55" s="1"/>
  <c r="S53" i="55"/>
  <c r="S230" i="55" s="1"/>
  <c r="R53" i="55"/>
  <c r="R230" i="55" s="1"/>
  <c r="AO43" i="55"/>
  <c r="AN43" i="55"/>
  <c r="AN112" i="55" s="1"/>
  <c r="AD43" i="55"/>
  <c r="AD112" i="55" s="1"/>
  <c r="AC43" i="55"/>
  <c r="AC112" i="55" s="1"/>
  <c r="AB43" i="55"/>
  <c r="AB112" i="55" s="1"/>
  <c r="R43" i="55"/>
  <c r="R112" i="55" s="1"/>
  <c r="L43" i="55"/>
  <c r="L112" i="55" s="1"/>
  <c r="K43" i="55"/>
  <c r="K112" i="55" s="1"/>
  <c r="J43" i="55"/>
  <c r="J112" i="55"/>
  <c r="AO48" i="55"/>
  <c r="AP48" i="55" s="1"/>
  <c r="AN48" i="55"/>
  <c r="AC48" i="55"/>
  <c r="AD48" i="55" s="1"/>
  <c r="AE48" i="55" s="1"/>
  <c r="AF48" i="55" s="1"/>
  <c r="AG48" i="55" s="1"/>
  <c r="AH48" i="55" s="1"/>
  <c r="AI48" i="55" s="1"/>
  <c r="AJ48" i="55" s="1"/>
  <c r="AK48" i="55" s="1"/>
  <c r="AL48" i="55" s="1"/>
  <c r="AM48" i="55" s="1"/>
  <c r="AB48" i="55"/>
  <c r="R48" i="55"/>
  <c r="S48" i="55" s="1"/>
  <c r="T48" i="55" s="1"/>
  <c r="U48" i="55" s="1"/>
  <c r="V48" i="55" s="1"/>
  <c r="W48" i="55" s="1"/>
  <c r="X48" i="55" s="1"/>
  <c r="Y48" i="55" s="1"/>
  <c r="Z48" i="55" s="1"/>
  <c r="AA48" i="55" s="1"/>
  <c r="J48" i="55"/>
  <c r="K48" i="55" s="1"/>
  <c r="L48" i="55" s="1"/>
  <c r="M48" i="55" s="1"/>
  <c r="N48" i="55" s="1"/>
  <c r="O48" i="55" s="1"/>
  <c r="P48" i="55" s="1"/>
  <c r="Q48" i="55" s="1"/>
  <c r="AN52" i="55"/>
  <c r="AO52" i="55" s="1"/>
  <c r="AP52" i="55" s="1"/>
  <c r="AN47" i="55"/>
  <c r="AO47" i="55"/>
  <c r="AP47" i="55"/>
  <c r="J70" i="55"/>
  <c r="AO41" i="55"/>
  <c r="AN41" i="55"/>
  <c r="AN70" i="55" s="1"/>
  <c r="AC41" i="55"/>
  <c r="AC70" i="55" s="1"/>
  <c r="AB41" i="55"/>
  <c r="AB70" i="55" s="1"/>
  <c r="R41" i="55"/>
  <c r="R70" i="55" s="1"/>
  <c r="L41" i="55"/>
  <c r="K41" i="55"/>
  <c r="K70" i="55" s="1"/>
  <c r="J41" i="55"/>
  <c r="K85" i="55" l="1"/>
  <c r="L70" i="55"/>
  <c r="M41" i="55"/>
  <c r="K91" i="55"/>
  <c r="L42" i="55"/>
  <c r="K218" i="55"/>
  <c r="K223" i="55"/>
  <c r="K227" i="55"/>
  <c r="K216" i="55"/>
  <c r="K222" i="55"/>
  <c r="K212" i="55"/>
  <c r="K219" i="55"/>
  <c r="K221" i="55"/>
  <c r="K215" i="55"/>
  <c r="K220" i="55"/>
  <c r="K224" i="55"/>
  <c r="K214" i="55"/>
  <c r="K228" i="55"/>
  <c r="K225" i="55"/>
  <c r="K217" i="55"/>
  <c r="K213" i="55"/>
  <c r="K226" i="55"/>
  <c r="K229" i="55"/>
  <c r="L53" i="55"/>
  <c r="K230" i="55"/>
  <c r="T211" i="55"/>
  <c r="U51" i="55"/>
  <c r="K154" i="55"/>
  <c r="L45" i="55"/>
  <c r="L50" i="55"/>
  <c r="K192" i="55"/>
  <c r="K179" i="55"/>
  <c r="K183" i="55"/>
  <c r="K189" i="55"/>
  <c r="K188" i="55"/>
  <c r="K176" i="55"/>
  <c r="K178" i="55"/>
  <c r="K175" i="55"/>
  <c r="K181" i="55"/>
  <c r="K174" i="55"/>
  <c r="K186" i="55"/>
  <c r="K182" i="55"/>
  <c r="K187" i="55"/>
  <c r="K180" i="55"/>
  <c r="K184" i="55"/>
  <c r="K177" i="55"/>
  <c r="K185" i="55"/>
  <c r="K129" i="55"/>
  <c r="L129" i="55" s="1"/>
  <c r="K130" i="55"/>
  <c r="L130" i="55" s="1"/>
  <c r="K128" i="55"/>
  <c r="L128" i="55" s="1"/>
  <c r="K123" i="55"/>
  <c r="L123" i="55" s="1"/>
  <c r="K115" i="55"/>
  <c r="L115" i="55" s="1"/>
  <c r="K126" i="55"/>
  <c r="L126" i="55" s="1"/>
  <c r="K120" i="55"/>
  <c r="L120" i="55" s="1"/>
  <c r="K121" i="55"/>
  <c r="L121" i="55" s="1"/>
  <c r="K114" i="55"/>
  <c r="L114" i="55" s="1"/>
  <c r="K127" i="55"/>
  <c r="L127" i="55" s="1"/>
  <c r="K131" i="55"/>
  <c r="L131" i="55" s="1"/>
  <c r="K117" i="55"/>
  <c r="L117" i="55" s="1"/>
  <c r="K118" i="55"/>
  <c r="L118" i="55" s="1"/>
  <c r="K125" i="55"/>
  <c r="L125" i="55" s="1"/>
  <c r="K132" i="55"/>
  <c r="L132" i="55" s="1"/>
  <c r="K119" i="55"/>
  <c r="L119" i="55" s="1"/>
  <c r="K113" i="55"/>
  <c r="L113" i="55" s="1"/>
  <c r="K116" i="55"/>
  <c r="L116" i="55" s="1"/>
  <c r="K124" i="55"/>
  <c r="L124" i="55" s="1"/>
  <c r="K122" i="55"/>
  <c r="L122" i="55" s="1"/>
  <c r="K153" i="55"/>
  <c r="L153" i="55" s="1"/>
  <c r="K135" i="55"/>
  <c r="H10" i="47" s="1"/>
  <c r="K148" i="55"/>
  <c r="L148" i="55" s="1"/>
  <c r="K137" i="55"/>
  <c r="H11" i="47" s="1"/>
  <c r="K144" i="55"/>
  <c r="H19" i="47" s="1"/>
  <c r="K151" i="55"/>
  <c r="H20" i="47" s="1"/>
  <c r="K152" i="55"/>
  <c r="L152" i="55" s="1"/>
  <c r="K134" i="55"/>
  <c r="H15" i="47" s="1"/>
  <c r="K139" i="55"/>
  <c r="H18" i="47" s="1"/>
  <c r="K136" i="55"/>
  <c r="H16" i="47" s="1"/>
  <c r="K150" i="55"/>
  <c r="L150" i="55" s="1"/>
  <c r="K140" i="55"/>
  <c r="H13" i="47" s="1"/>
  <c r="K141" i="55"/>
  <c r="H17" i="47" s="1"/>
  <c r="K146" i="55"/>
  <c r="L146" i="55" s="1"/>
  <c r="K147" i="55"/>
  <c r="L147" i="55" s="1"/>
  <c r="K143" i="55"/>
  <c r="L143" i="55" s="1"/>
  <c r="K149" i="55"/>
  <c r="L149" i="55" s="1"/>
  <c r="K142" i="55"/>
  <c r="H12" i="47" s="1"/>
  <c r="K138" i="55"/>
  <c r="H14" i="47" s="1"/>
  <c r="K145" i="55"/>
  <c r="L145" i="55" s="1"/>
  <c r="N133" i="55"/>
  <c r="O44" i="55"/>
  <c r="T44" i="55"/>
  <c r="L51" i="55"/>
  <c r="K74" i="55"/>
  <c r="H32" i="47" s="1"/>
  <c r="K79" i="55"/>
  <c r="H33" i="47" s="1"/>
  <c r="K77" i="55"/>
  <c r="H34" i="47" s="1"/>
  <c r="K89" i="55"/>
  <c r="K78" i="55"/>
  <c r="H38" i="47" s="1"/>
  <c r="K82" i="55"/>
  <c r="K71" i="55"/>
  <c r="H36" i="47" s="1"/>
  <c r="K80" i="55"/>
  <c r="K72" i="55"/>
  <c r="H31" i="47" s="1"/>
  <c r="K83" i="55"/>
  <c r="K86" i="55"/>
  <c r="K81" i="55"/>
  <c r="H41" i="47" s="1"/>
  <c r="K75" i="55"/>
  <c r="H35" i="47" s="1"/>
  <c r="AC53" i="55"/>
  <c r="AO53" i="55"/>
  <c r="J230" i="55"/>
  <c r="S45" i="55"/>
  <c r="K88" i="55"/>
  <c r="H40" i="47" s="1"/>
  <c r="AC50" i="55"/>
  <c r="AO50" i="55"/>
  <c r="AO91" i="55"/>
  <c r="AP42" i="55"/>
  <c r="AP91" i="55" s="1"/>
  <c r="J192" i="55"/>
  <c r="K73" i="55"/>
  <c r="H37" i="47" s="1"/>
  <c r="J91" i="55"/>
  <c r="L46" i="55"/>
  <c r="AP43" i="55"/>
  <c r="AP112" i="55" s="1"/>
  <c r="AO112" i="55"/>
  <c r="AB173" i="55"/>
  <c r="AN173" i="55"/>
  <c r="AB211" i="55"/>
  <c r="AN211" i="55"/>
  <c r="M133" i="55"/>
  <c r="M43" i="55"/>
  <c r="AP41" i="55"/>
  <c r="AP70" i="55" s="1"/>
  <c r="AO70" i="55"/>
  <c r="AC173" i="55"/>
  <c r="AO173" i="55"/>
  <c r="AP46" i="55"/>
  <c r="AP173" i="55" s="1"/>
  <c r="AC51" i="55"/>
  <c r="AO51" i="55"/>
  <c r="K76" i="55"/>
  <c r="H39" i="47" s="1"/>
  <c r="S43" i="55"/>
  <c r="AE43" i="55"/>
  <c r="V53" i="55"/>
  <c r="T42" i="55"/>
  <c r="AF42" i="55"/>
  <c r="R173" i="55"/>
  <c r="AD46" i="55"/>
  <c r="U50" i="55"/>
  <c r="R211" i="55"/>
  <c r="K90" i="55"/>
  <c r="S211" i="55"/>
  <c r="S41" i="55"/>
  <c r="S173" i="55"/>
  <c r="K84" i="55"/>
  <c r="AD41" i="55"/>
  <c r="T46" i="55"/>
  <c r="K87" i="55"/>
  <c r="AO154" i="55"/>
  <c r="AP45" i="55"/>
  <c r="AP154" i="55" s="1"/>
  <c r="AD45" i="55"/>
  <c r="AC44" i="55"/>
  <c r="AO44" i="55"/>
  <c r="L135" i="55" l="1"/>
  <c r="I10" i="47" s="1"/>
  <c r="L136" i="55"/>
  <c r="I16" i="47" s="1"/>
  <c r="L138" i="55"/>
  <c r="I14" i="47" s="1"/>
  <c r="L151" i="55"/>
  <c r="I20" i="47" s="1"/>
  <c r="L134" i="55"/>
  <c r="I15" i="47" s="1"/>
  <c r="L139" i="55"/>
  <c r="I18" i="47" s="1"/>
  <c r="L137" i="55"/>
  <c r="I11" i="47" s="1"/>
  <c r="L144" i="55"/>
  <c r="I19" i="47" s="1"/>
  <c r="T173" i="55"/>
  <c r="U46" i="55"/>
  <c r="AO211" i="55"/>
  <c r="AP51" i="55"/>
  <c r="AP211" i="55" s="1"/>
  <c r="AD70" i="55"/>
  <c r="AE41" i="55"/>
  <c r="U192" i="55"/>
  <c r="V50" i="55"/>
  <c r="AC211" i="55"/>
  <c r="AD51" i="55"/>
  <c r="L173" i="55"/>
  <c r="M46" i="55"/>
  <c r="L142" i="55"/>
  <c r="I12" i="47" s="1"/>
  <c r="AD173" i="55"/>
  <c r="AE46" i="55"/>
  <c r="M152" i="55"/>
  <c r="N152" i="55" s="1"/>
  <c r="M145" i="55"/>
  <c r="N145" i="55" s="1"/>
  <c r="M150" i="55"/>
  <c r="N150" i="55" s="1"/>
  <c r="M146" i="55"/>
  <c r="N146" i="55" s="1"/>
  <c r="M153" i="55"/>
  <c r="N153" i="55" s="1"/>
  <c r="M143" i="55"/>
  <c r="N143" i="55" s="1"/>
  <c r="M149" i="55"/>
  <c r="N149" i="55" s="1"/>
  <c r="M147" i="55"/>
  <c r="N147" i="55" s="1"/>
  <c r="M148" i="55"/>
  <c r="N148" i="55" s="1"/>
  <c r="L211" i="55"/>
  <c r="M51" i="55"/>
  <c r="L192" i="55"/>
  <c r="M50" i="55"/>
  <c r="AO230" i="55"/>
  <c r="AP53" i="55"/>
  <c r="AP230" i="55" s="1"/>
  <c r="T133" i="55"/>
  <c r="U44" i="55"/>
  <c r="O133" i="55"/>
  <c r="P44" i="55"/>
  <c r="AC133" i="55"/>
  <c r="AD44" i="55"/>
  <c r="AF91" i="55"/>
  <c r="AG42" i="55"/>
  <c r="AC230" i="55"/>
  <c r="AD53" i="55"/>
  <c r="L154" i="55"/>
  <c r="M45" i="55"/>
  <c r="L140" i="55"/>
  <c r="I13" i="47" s="1"/>
  <c r="S70" i="55"/>
  <c r="T41" i="55"/>
  <c r="AD154" i="55"/>
  <c r="AE45" i="55"/>
  <c r="T91" i="55"/>
  <c r="U42" i="55"/>
  <c r="S154" i="55"/>
  <c r="T45" i="55"/>
  <c r="K168" i="55"/>
  <c r="K155" i="55"/>
  <c r="H47" i="47" s="1"/>
  <c r="K160" i="55"/>
  <c r="H50" i="47" s="1"/>
  <c r="K165" i="55"/>
  <c r="H51" i="47" s="1"/>
  <c r="K163" i="55"/>
  <c r="H44" i="47" s="1"/>
  <c r="K170" i="55"/>
  <c r="K161" i="55"/>
  <c r="H45" i="47" s="1"/>
  <c r="K157" i="55"/>
  <c r="H48" i="47" s="1"/>
  <c r="K171" i="55"/>
  <c r="K169" i="55"/>
  <c r="K167" i="55"/>
  <c r="K162" i="55"/>
  <c r="H49" i="47" s="1"/>
  <c r="K156" i="55"/>
  <c r="H42" i="47" s="1"/>
  <c r="K158" i="55"/>
  <c r="H43" i="47" s="1"/>
  <c r="K166" i="55"/>
  <c r="K172" i="55"/>
  <c r="K164" i="55"/>
  <c r="K159" i="55"/>
  <c r="H46" i="47" s="1"/>
  <c r="L91" i="55"/>
  <c r="M42" i="55"/>
  <c r="K200" i="55"/>
  <c r="H28" i="47" s="1"/>
  <c r="K203" i="55"/>
  <c r="H30" i="47" s="1"/>
  <c r="K194" i="55"/>
  <c r="H21" i="47" s="1"/>
  <c r="K202" i="55"/>
  <c r="K201" i="55"/>
  <c r="H23" i="47" s="1"/>
  <c r="K207" i="55"/>
  <c r="K195" i="55"/>
  <c r="H27" i="47" s="1"/>
  <c r="K193" i="55"/>
  <c r="H26" i="47" s="1"/>
  <c r="K198" i="55"/>
  <c r="H29" i="47" s="1"/>
  <c r="K208" i="55"/>
  <c r="K204" i="55"/>
  <c r="K197" i="55"/>
  <c r="H25" i="47" s="1"/>
  <c r="K206" i="55"/>
  <c r="K199" i="55"/>
  <c r="H24" i="47" s="1"/>
  <c r="K196" i="55"/>
  <c r="H22" i="47" s="1"/>
  <c r="K205" i="55"/>
  <c r="V230" i="55"/>
  <c r="W53" i="55"/>
  <c r="M112" i="55"/>
  <c r="N43" i="55"/>
  <c r="U211" i="55"/>
  <c r="V51" i="55"/>
  <c r="K111" i="55"/>
  <c r="K105" i="55"/>
  <c r="K96" i="55"/>
  <c r="K99" i="55"/>
  <c r="K103" i="55"/>
  <c r="K100" i="55"/>
  <c r="K95" i="55"/>
  <c r="K92" i="55"/>
  <c r="K94" i="55"/>
  <c r="K106" i="55"/>
  <c r="K108" i="55"/>
  <c r="K98" i="55"/>
  <c r="K93" i="55"/>
  <c r="K110" i="55"/>
  <c r="K101" i="55"/>
  <c r="K107" i="55"/>
  <c r="K102" i="55"/>
  <c r="K109" i="55"/>
  <c r="K97" i="55"/>
  <c r="K104" i="55"/>
  <c r="AO133" i="55"/>
  <c r="AP44" i="55"/>
  <c r="AP133" i="55" s="1"/>
  <c r="AE112" i="55"/>
  <c r="AF43" i="55"/>
  <c r="M70" i="55"/>
  <c r="N41" i="55"/>
  <c r="S112" i="55"/>
  <c r="T43" i="55"/>
  <c r="L141" i="55"/>
  <c r="I17" i="47" s="1"/>
  <c r="AO192" i="55"/>
  <c r="AP50" i="55"/>
  <c r="AP192" i="55" s="1"/>
  <c r="K242" i="55"/>
  <c r="K248" i="55"/>
  <c r="K245" i="55"/>
  <c r="K249" i="55"/>
  <c r="K235" i="55"/>
  <c r="H58" i="47" s="1"/>
  <c r="K247" i="55"/>
  <c r="K237" i="55"/>
  <c r="H56" i="47" s="1"/>
  <c r="K252" i="55"/>
  <c r="K241" i="55"/>
  <c r="H54" i="47" s="1"/>
  <c r="K231" i="55"/>
  <c r="K234" i="55"/>
  <c r="H52" i="47" s="1"/>
  <c r="K238" i="55"/>
  <c r="H60" i="47" s="1"/>
  <c r="K232" i="55"/>
  <c r="K236" i="55"/>
  <c r="H53" i="47" s="1"/>
  <c r="K253" i="55"/>
  <c r="H132" i="47" s="1"/>
  <c r="K250" i="55"/>
  <c r="K239" i="55"/>
  <c r="H55" i="47" s="1"/>
  <c r="K251" i="55"/>
  <c r="K246" i="55"/>
  <c r="K233" i="55"/>
  <c r="H57" i="47" s="1"/>
  <c r="K243" i="55"/>
  <c r="H61" i="47" s="1"/>
  <c r="K240" i="55"/>
  <c r="H59" i="47" s="1"/>
  <c r="K244" i="55"/>
  <c r="L88" i="55"/>
  <c r="I40" i="47" s="1"/>
  <c r="L76" i="55"/>
  <c r="I39" i="47" s="1"/>
  <c r="L82" i="55"/>
  <c r="L74" i="55"/>
  <c r="I32" i="47" s="1"/>
  <c r="L77" i="55"/>
  <c r="I34" i="47" s="1"/>
  <c r="L80" i="55"/>
  <c r="L83" i="55"/>
  <c r="L81" i="55"/>
  <c r="I41" i="47" s="1"/>
  <c r="L78" i="55"/>
  <c r="I38" i="47" s="1"/>
  <c r="L86" i="55"/>
  <c r="L75" i="55"/>
  <c r="I35" i="47" s="1"/>
  <c r="L79" i="55"/>
  <c r="I33" i="47" s="1"/>
  <c r="L89" i="55"/>
  <c r="L85" i="55"/>
  <c r="L87" i="55"/>
  <c r="L84" i="55"/>
  <c r="L90" i="55"/>
  <c r="L72" i="55"/>
  <c r="I31" i="47" s="1"/>
  <c r="L71" i="55"/>
  <c r="I36" i="47" s="1"/>
  <c r="L73" i="55"/>
  <c r="I37" i="47" s="1"/>
  <c r="AC192" i="55"/>
  <c r="AD50" i="55"/>
  <c r="M53" i="55"/>
  <c r="L230" i="55"/>
  <c r="P133" i="55" l="1"/>
  <c r="Q44" i="55"/>
  <c r="Q133" i="55" s="1"/>
  <c r="L231" i="55"/>
  <c r="L246" i="55"/>
  <c r="L253" i="55"/>
  <c r="I132" i="47" s="1"/>
  <c r="L242" i="55"/>
  <c r="L243" i="55"/>
  <c r="I61" i="47" s="1"/>
  <c r="L240" i="55"/>
  <c r="I59" i="47" s="1"/>
  <c r="L241" i="55"/>
  <c r="I54" i="47" s="1"/>
  <c r="L232" i="55"/>
  <c r="L251" i="55"/>
  <c r="L249" i="55"/>
  <c r="L244" i="55"/>
  <c r="L250" i="55"/>
  <c r="L252" i="55"/>
  <c r="L233" i="55"/>
  <c r="I57" i="47" s="1"/>
  <c r="L234" i="55"/>
  <c r="I52" i="47" s="1"/>
  <c r="L236" i="55"/>
  <c r="I53" i="47" s="1"/>
  <c r="L247" i="55"/>
  <c r="L237" i="55"/>
  <c r="I56" i="47" s="1"/>
  <c r="L238" i="55"/>
  <c r="I60" i="47" s="1"/>
  <c r="L248" i="55"/>
  <c r="L239" i="55"/>
  <c r="I55" i="47" s="1"/>
  <c r="L235" i="55"/>
  <c r="I58" i="47" s="1"/>
  <c r="L245" i="55"/>
  <c r="T112" i="55"/>
  <c r="U43" i="55"/>
  <c r="M91" i="55"/>
  <c r="N42" i="55"/>
  <c r="T70" i="55"/>
  <c r="U41" i="55"/>
  <c r="O145" i="55"/>
  <c r="O143" i="55"/>
  <c r="O148" i="55"/>
  <c r="O146" i="55"/>
  <c r="O147" i="55"/>
  <c r="O152" i="55"/>
  <c r="O150" i="55"/>
  <c r="O153" i="55"/>
  <c r="O149" i="55"/>
  <c r="AD211" i="55"/>
  <c r="AE51" i="55"/>
  <c r="AE173" i="55"/>
  <c r="AF46" i="55"/>
  <c r="L108" i="55"/>
  <c r="L100" i="55"/>
  <c r="L98" i="55"/>
  <c r="L97" i="55"/>
  <c r="L107" i="55"/>
  <c r="L99" i="55"/>
  <c r="L110" i="55"/>
  <c r="L111" i="55"/>
  <c r="L95" i="55"/>
  <c r="L103" i="55"/>
  <c r="L96" i="55"/>
  <c r="L92" i="55"/>
  <c r="L93" i="55"/>
  <c r="L102" i="55"/>
  <c r="L106" i="55"/>
  <c r="L104" i="55"/>
  <c r="L101" i="55"/>
  <c r="L94" i="55"/>
  <c r="L109" i="55"/>
  <c r="L105" i="55"/>
  <c r="U133" i="55"/>
  <c r="V44" i="55"/>
  <c r="M192" i="55"/>
  <c r="N50" i="55"/>
  <c r="M90" i="55"/>
  <c r="M80" i="55"/>
  <c r="M87" i="55"/>
  <c r="M84" i="55"/>
  <c r="M83" i="55"/>
  <c r="M85" i="55"/>
  <c r="M89" i="55"/>
  <c r="M86" i="55"/>
  <c r="M82" i="55"/>
  <c r="L175" i="55"/>
  <c r="L185" i="55"/>
  <c r="L178" i="55"/>
  <c r="L188" i="55"/>
  <c r="L177" i="55"/>
  <c r="L174" i="55"/>
  <c r="L184" i="55"/>
  <c r="L181" i="55"/>
  <c r="L189" i="55"/>
  <c r="L179" i="55"/>
  <c r="L182" i="55"/>
  <c r="L180" i="55"/>
  <c r="L183" i="55"/>
  <c r="L176" i="55"/>
  <c r="L186" i="55"/>
  <c r="L187" i="55"/>
  <c r="N112" i="55"/>
  <c r="O43" i="55"/>
  <c r="L195" i="55"/>
  <c r="I27" i="47" s="1"/>
  <c r="L199" i="55"/>
  <c r="I24" i="47" s="1"/>
  <c r="L196" i="55"/>
  <c r="I22" i="47" s="1"/>
  <c r="L207" i="55"/>
  <c r="L206" i="55"/>
  <c r="L201" i="55"/>
  <c r="I23" i="47" s="1"/>
  <c r="L205" i="55"/>
  <c r="L194" i="55"/>
  <c r="I21" i="47" s="1"/>
  <c r="L204" i="55"/>
  <c r="L202" i="55"/>
  <c r="L208" i="55"/>
  <c r="L200" i="55"/>
  <c r="I28" i="47" s="1"/>
  <c r="L198" i="55"/>
  <c r="I29" i="47" s="1"/>
  <c r="L193" i="55"/>
  <c r="I26" i="47" s="1"/>
  <c r="L197" i="55"/>
  <c r="I25" i="47" s="1"/>
  <c r="L203" i="55"/>
  <c r="I30" i="47" s="1"/>
  <c r="V192" i="55"/>
  <c r="W50" i="55"/>
  <c r="M130" i="55"/>
  <c r="M126" i="55"/>
  <c r="M114" i="55"/>
  <c r="M117" i="55"/>
  <c r="M122" i="55"/>
  <c r="M123" i="55"/>
  <c r="M132" i="55"/>
  <c r="M113" i="55"/>
  <c r="M115" i="55"/>
  <c r="M125" i="55"/>
  <c r="M118" i="55"/>
  <c r="M120" i="55"/>
  <c r="M131" i="55"/>
  <c r="M127" i="55"/>
  <c r="M124" i="55"/>
  <c r="M128" i="55"/>
  <c r="M116" i="55"/>
  <c r="M119" i="55"/>
  <c r="M129" i="55"/>
  <c r="M121" i="55"/>
  <c r="M211" i="55"/>
  <c r="N51" i="55"/>
  <c r="L221" i="55"/>
  <c r="L217" i="55"/>
  <c r="L225" i="55"/>
  <c r="L215" i="55"/>
  <c r="L216" i="55"/>
  <c r="L229" i="55"/>
  <c r="L214" i="55"/>
  <c r="L226" i="55"/>
  <c r="L222" i="55"/>
  <c r="L212" i="55"/>
  <c r="L227" i="55"/>
  <c r="L213" i="55"/>
  <c r="L220" i="55"/>
  <c r="L223" i="55"/>
  <c r="L218" i="55"/>
  <c r="L219" i="55"/>
  <c r="L228" i="55"/>
  <c r="L224" i="55"/>
  <c r="AE70" i="55"/>
  <c r="AF41" i="55"/>
  <c r="M173" i="55"/>
  <c r="N46" i="55"/>
  <c r="AD192" i="55"/>
  <c r="AE50" i="55"/>
  <c r="AE154" i="55"/>
  <c r="AF45" i="55"/>
  <c r="AF112" i="55"/>
  <c r="AG43" i="55"/>
  <c r="V211" i="55"/>
  <c r="W51" i="55"/>
  <c r="M154" i="55"/>
  <c r="N45" i="55"/>
  <c r="AG91" i="55"/>
  <c r="AH42" i="55"/>
  <c r="W230" i="55"/>
  <c r="X53" i="55"/>
  <c r="T154" i="55"/>
  <c r="U45" i="55"/>
  <c r="U91" i="55"/>
  <c r="V42" i="55"/>
  <c r="L172" i="55"/>
  <c r="L162" i="55"/>
  <c r="I49" i="47" s="1"/>
  <c r="L166" i="55"/>
  <c r="L161" i="55"/>
  <c r="I45" i="47" s="1"/>
  <c r="L163" i="55"/>
  <c r="I44" i="47" s="1"/>
  <c r="L167" i="55"/>
  <c r="L155" i="55"/>
  <c r="I47" i="47" s="1"/>
  <c r="L168" i="55"/>
  <c r="L157" i="55"/>
  <c r="I48" i="47" s="1"/>
  <c r="L165" i="55"/>
  <c r="I51" i="47" s="1"/>
  <c r="L156" i="55"/>
  <c r="I42" i="47" s="1"/>
  <c r="L170" i="55"/>
  <c r="L164" i="55"/>
  <c r="L171" i="55"/>
  <c r="L160" i="55"/>
  <c r="I50" i="47" s="1"/>
  <c r="L169" i="55"/>
  <c r="L158" i="55"/>
  <c r="I43" i="47" s="1"/>
  <c r="L159" i="55"/>
  <c r="I46" i="47" s="1"/>
  <c r="U173" i="55"/>
  <c r="V46" i="55"/>
  <c r="N70" i="55"/>
  <c r="O41" i="55"/>
  <c r="M230" i="55"/>
  <c r="N53" i="55"/>
  <c r="AD230" i="55"/>
  <c r="AE53" i="55"/>
  <c r="AD133" i="55"/>
  <c r="AE44" i="55"/>
  <c r="AF154" i="55" l="1"/>
  <c r="AG45" i="55"/>
  <c r="P138" i="55"/>
  <c r="M14" i="47" s="1"/>
  <c r="P140" i="55"/>
  <c r="M13" i="47" s="1"/>
  <c r="P146" i="55"/>
  <c r="Q146" i="55" s="1"/>
  <c r="R146" i="55" s="1"/>
  <c r="S146" i="55" s="1"/>
  <c r="T146" i="55" s="1"/>
  <c r="U146" i="55" s="1"/>
  <c r="P151" i="55"/>
  <c r="M20" i="47" s="1"/>
  <c r="P152" i="55"/>
  <c r="Q152" i="55" s="1"/>
  <c r="R152" i="55" s="1"/>
  <c r="S152" i="55" s="1"/>
  <c r="T152" i="55" s="1"/>
  <c r="U152" i="55" s="1"/>
  <c r="P134" i="55"/>
  <c r="M15" i="47" s="1"/>
  <c r="P139" i="55"/>
  <c r="M18" i="47" s="1"/>
  <c r="P143" i="55"/>
  <c r="Q143" i="55" s="1"/>
  <c r="R143" i="55" s="1"/>
  <c r="S143" i="55" s="1"/>
  <c r="T143" i="55" s="1"/>
  <c r="U143" i="55" s="1"/>
  <c r="P153" i="55"/>
  <c r="Q153" i="55" s="1"/>
  <c r="R153" i="55" s="1"/>
  <c r="S153" i="55" s="1"/>
  <c r="T153" i="55" s="1"/>
  <c r="U153" i="55" s="1"/>
  <c r="P145" i="55"/>
  <c r="Q145" i="55" s="1"/>
  <c r="R145" i="55" s="1"/>
  <c r="S145" i="55" s="1"/>
  <c r="T145" i="55" s="1"/>
  <c r="U145" i="55" s="1"/>
  <c r="P150" i="55"/>
  <c r="Q150" i="55" s="1"/>
  <c r="R150" i="55" s="1"/>
  <c r="S150" i="55" s="1"/>
  <c r="T150" i="55" s="1"/>
  <c r="U150" i="55" s="1"/>
  <c r="P148" i="55"/>
  <c r="Q148" i="55" s="1"/>
  <c r="R148" i="55" s="1"/>
  <c r="S148" i="55" s="1"/>
  <c r="T148" i="55" s="1"/>
  <c r="U148" i="55" s="1"/>
  <c r="P149" i="55"/>
  <c r="Q149" i="55" s="1"/>
  <c r="R149" i="55" s="1"/>
  <c r="S149" i="55" s="1"/>
  <c r="T149" i="55" s="1"/>
  <c r="U149" i="55" s="1"/>
  <c r="P147" i="55"/>
  <c r="Q147" i="55" s="1"/>
  <c r="R147" i="55" s="1"/>
  <c r="S147" i="55" s="1"/>
  <c r="T147" i="55" s="1"/>
  <c r="U147" i="55" s="1"/>
  <c r="P141" i="55"/>
  <c r="M17" i="47" s="1"/>
  <c r="P137" i="55"/>
  <c r="M11" i="47" s="1"/>
  <c r="P144" i="55"/>
  <c r="M19" i="47" s="1"/>
  <c r="P136" i="55"/>
  <c r="M16" i="47" s="1"/>
  <c r="P142" i="55"/>
  <c r="M12" i="47" s="1"/>
  <c r="P135" i="55"/>
  <c r="M10" i="47" s="1"/>
  <c r="M205" i="55"/>
  <c r="M202" i="55"/>
  <c r="M207" i="55"/>
  <c r="M208" i="55"/>
  <c r="M204" i="55"/>
  <c r="M206" i="55"/>
  <c r="AE230" i="55"/>
  <c r="AF53" i="55"/>
  <c r="V133" i="55"/>
  <c r="W44" i="55"/>
  <c r="N173" i="55"/>
  <c r="O46" i="55"/>
  <c r="N85" i="55"/>
  <c r="N87" i="55"/>
  <c r="N83" i="55"/>
  <c r="N89" i="55"/>
  <c r="N86" i="55"/>
  <c r="N90" i="55"/>
  <c r="N84" i="55"/>
  <c r="N80" i="55"/>
  <c r="N82" i="55"/>
  <c r="O50" i="55"/>
  <c r="N192" i="55"/>
  <c r="AH91" i="55"/>
  <c r="AI42" i="55"/>
  <c r="W211" i="55"/>
  <c r="X51" i="55"/>
  <c r="M251" i="55"/>
  <c r="M247" i="55"/>
  <c r="M249" i="55"/>
  <c r="M242" i="55"/>
  <c r="M250" i="55"/>
  <c r="M248" i="55"/>
  <c r="M252" i="55"/>
  <c r="M244" i="55"/>
  <c r="M246" i="55"/>
  <c r="M231" i="55"/>
  <c r="M245" i="55"/>
  <c r="M232" i="55"/>
  <c r="M188" i="55"/>
  <c r="M181" i="55"/>
  <c r="M182" i="55"/>
  <c r="M184" i="55"/>
  <c r="M185" i="55"/>
  <c r="M186" i="55"/>
  <c r="M180" i="55"/>
  <c r="M178" i="55"/>
  <c r="M177" i="55"/>
  <c r="M176" i="55"/>
  <c r="M187" i="55"/>
  <c r="M189" i="55"/>
  <c r="M179" i="55"/>
  <c r="M183" i="55"/>
  <c r="M174" i="55"/>
  <c r="M175" i="55"/>
  <c r="AF173" i="55"/>
  <c r="AG46" i="55"/>
  <c r="AG112" i="55"/>
  <c r="AH43" i="55"/>
  <c r="W192" i="55"/>
  <c r="X50" i="55"/>
  <c r="U70" i="55"/>
  <c r="V41" i="55"/>
  <c r="O70" i="55"/>
  <c r="P41" i="55"/>
  <c r="V91" i="55"/>
  <c r="W42" i="55"/>
  <c r="N154" i="55"/>
  <c r="O45" i="55"/>
  <c r="M167" i="55"/>
  <c r="M169" i="55"/>
  <c r="M164" i="55"/>
  <c r="M170" i="55"/>
  <c r="M171" i="55"/>
  <c r="M166" i="55"/>
  <c r="M168" i="55"/>
  <c r="M172" i="55"/>
  <c r="AE211" i="55"/>
  <c r="AF51" i="55"/>
  <c r="U154" i="55"/>
  <c r="V45" i="55"/>
  <c r="O112" i="55"/>
  <c r="P43" i="55"/>
  <c r="N91" i="55"/>
  <c r="O42" i="55"/>
  <c r="AE133" i="55"/>
  <c r="AF44" i="55"/>
  <c r="V173" i="55"/>
  <c r="W46" i="55"/>
  <c r="N211" i="55"/>
  <c r="O51" i="55"/>
  <c r="N116" i="55"/>
  <c r="N113" i="55"/>
  <c r="N121" i="55"/>
  <c r="N131" i="55"/>
  <c r="N132" i="55"/>
  <c r="N114" i="55"/>
  <c r="N124" i="55"/>
  <c r="N127" i="55"/>
  <c r="N125" i="55"/>
  <c r="N117" i="55"/>
  <c r="N128" i="55"/>
  <c r="N126" i="55"/>
  <c r="N115" i="55"/>
  <c r="N129" i="55"/>
  <c r="N119" i="55"/>
  <c r="N130" i="55"/>
  <c r="N118" i="55"/>
  <c r="N122" i="55"/>
  <c r="N120" i="55"/>
  <c r="N123" i="55"/>
  <c r="M104" i="55"/>
  <c r="M111" i="55"/>
  <c r="M99" i="55"/>
  <c r="M103" i="55"/>
  <c r="M96" i="55"/>
  <c r="M93" i="55"/>
  <c r="M95" i="55"/>
  <c r="M102" i="55"/>
  <c r="M97" i="55"/>
  <c r="M109" i="55"/>
  <c r="M107" i="55"/>
  <c r="M98" i="55"/>
  <c r="M101" i="55"/>
  <c r="M110" i="55"/>
  <c r="M92" i="55"/>
  <c r="M106" i="55"/>
  <c r="M105" i="55"/>
  <c r="M100" i="55"/>
  <c r="M108" i="55"/>
  <c r="M94" i="55"/>
  <c r="AF70" i="55"/>
  <c r="AG41" i="55"/>
  <c r="N230" i="55"/>
  <c r="O53" i="55"/>
  <c r="X230" i="55"/>
  <c r="Y53" i="55"/>
  <c r="AE192" i="55"/>
  <c r="AF50" i="55"/>
  <c r="M215" i="55"/>
  <c r="M216" i="55"/>
  <c r="M218" i="55"/>
  <c r="M220" i="55"/>
  <c r="M221" i="55"/>
  <c r="M214" i="55"/>
  <c r="M229" i="55"/>
  <c r="M227" i="55"/>
  <c r="M224" i="55"/>
  <c r="M217" i="55"/>
  <c r="M226" i="55"/>
  <c r="M228" i="55"/>
  <c r="M225" i="55"/>
  <c r="M222" i="55"/>
  <c r="M219" i="55"/>
  <c r="M212" i="55"/>
  <c r="M213" i="55"/>
  <c r="M223" i="55"/>
  <c r="U112" i="55"/>
  <c r="V43" i="55"/>
  <c r="Q138" i="55" l="1"/>
  <c r="N14" i="47" s="1"/>
  <c r="Q134" i="55"/>
  <c r="N15" i="47" s="1"/>
  <c r="Q139" i="55"/>
  <c r="N18" i="47" s="1"/>
  <c r="Q142" i="55"/>
  <c r="N12" i="47" s="1"/>
  <c r="Q140" i="55"/>
  <c r="N13" i="47" s="1"/>
  <c r="Q141" i="55"/>
  <c r="N17" i="47" s="1"/>
  <c r="Q137" i="55"/>
  <c r="N11" i="47" s="1"/>
  <c r="Q151" i="55"/>
  <c r="N20" i="47" s="1"/>
  <c r="Q136" i="55"/>
  <c r="N16" i="47" s="1"/>
  <c r="Q144" i="55"/>
  <c r="N19" i="47" s="1"/>
  <c r="Q135" i="55"/>
  <c r="X211" i="55"/>
  <c r="Y51" i="55"/>
  <c r="N245" i="55"/>
  <c r="N231" i="55"/>
  <c r="N248" i="55"/>
  <c r="N244" i="55"/>
  <c r="N251" i="55"/>
  <c r="N252" i="55"/>
  <c r="N246" i="55"/>
  <c r="N247" i="55"/>
  <c r="N242" i="55"/>
  <c r="N250" i="55"/>
  <c r="N249" i="55"/>
  <c r="N232" i="55"/>
  <c r="AI91" i="55"/>
  <c r="AJ42" i="55"/>
  <c r="O173" i="55"/>
  <c r="P46" i="55"/>
  <c r="AF211" i="55"/>
  <c r="AG51" i="55"/>
  <c r="N202" i="55"/>
  <c r="N207" i="55"/>
  <c r="N204" i="55"/>
  <c r="N206" i="55"/>
  <c r="N208" i="55"/>
  <c r="N205" i="55"/>
  <c r="N175" i="55"/>
  <c r="N185" i="55"/>
  <c r="N188" i="55"/>
  <c r="N186" i="55"/>
  <c r="N178" i="55"/>
  <c r="N187" i="55"/>
  <c r="N184" i="55"/>
  <c r="N177" i="55"/>
  <c r="N179" i="55"/>
  <c r="N189" i="55"/>
  <c r="N181" i="55"/>
  <c r="N183" i="55"/>
  <c r="N180" i="55"/>
  <c r="N182" i="55"/>
  <c r="N176" i="55"/>
  <c r="N174" i="55"/>
  <c r="AG70" i="55"/>
  <c r="AH41" i="55"/>
  <c r="O130" i="55"/>
  <c r="O117" i="55"/>
  <c r="O121" i="55"/>
  <c r="O126" i="55"/>
  <c r="O122" i="55"/>
  <c r="O120" i="55"/>
  <c r="O115" i="55"/>
  <c r="O132" i="55"/>
  <c r="O127" i="55"/>
  <c r="O124" i="55"/>
  <c r="O119" i="55"/>
  <c r="O128" i="55"/>
  <c r="O125" i="55"/>
  <c r="O123" i="55"/>
  <c r="O113" i="55"/>
  <c r="O116" i="55"/>
  <c r="O129" i="55"/>
  <c r="O114" i="55"/>
  <c r="O118" i="55"/>
  <c r="O131" i="55"/>
  <c r="X192" i="55"/>
  <c r="Y50" i="55"/>
  <c r="O192" i="55"/>
  <c r="P50" i="55"/>
  <c r="W133" i="55"/>
  <c r="X44" i="55"/>
  <c r="AF133" i="55"/>
  <c r="AG44" i="55"/>
  <c r="V154" i="55"/>
  <c r="W45" i="55"/>
  <c r="V153" i="55"/>
  <c r="V148" i="55"/>
  <c r="V146" i="55"/>
  <c r="V147" i="55"/>
  <c r="V150" i="55"/>
  <c r="V145" i="55"/>
  <c r="V149" i="55"/>
  <c r="V152" i="55"/>
  <c r="V143" i="55"/>
  <c r="AH112" i="55"/>
  <c r="AI43" i="55"/>
  <c r="AF230" i="55"/>
  <c r="AG53" i="55"/>
  <c r="V112" i="55"/>
  <c r="W43" i="55"/>
  <c r="P112" i="55"/>
  <c r="Q43" i="55"/>
  <c r="Q112" i="55" s="1"/>
  <c r="O211" i="55"/>
  <c r="P51" i="55"/>
  <c r="O91" i="55"/>
  <c r="P42" i="55"/>
  <c r="W173" i="55"/>
  <c r="X46" i="55"/>
  <c r="N220" i="55"/>
  <c r="N222" i="55"/>
  <c r="N225" i="55"/>
  <c r="N213" i="55"/>
  <c r="N223" i="55"/>
  <c r="N224" i="55"/>
  <c r="N219" i="55"/>
  <c r="N218" i="55"/>
  <c r="N216" i="55"/>
  <c r="N212" i="55"/>
  <c r="N214" i="55"/>
  <c r="N228" i="55"/>
  <c r="N217" i="55"/>
  <c r="N229" i="55"/>
  <c r="N215" i="55"/>
  <c r="N221" i="55"/>
  <c r="N227" i="55"/>
  <c r="N226" i="55"/>
  <c r="N100" i="55"/>
  <c r="N102" i="55"/>
  <c r="N105" i="55"/>
  <c r="N99" i="55"/>
  <c r="N110" i="55"/>
  <c r="N92" i="55"/>
  <c r="N107" i="55"/>
  <c r="N106" i="55"/>
  <c r="N94" i="55"/>
  <c r="N93" i="55"/>
  <c r="N111" i="55"/>
  <c r="N108" i="55"/>
  <c r="N104" i="55"/>
  <c r="N101" i="55"/>
  <c r="N95" i="55"/>
  <c r="N103" i="55"/>
  <c r="N109" i="55"/>
  <c r="N96" i="55"/>
  <c r="N97" i="55"/>
  <c r="N98" i="55"/>
  <c r="AG173" i="55"/>
  <c r="AH46" i="55"/>
  <c r="O230" i="55"/>
  <c r="P53" i="55"/>
  <c r="AF192" i="55"/>
  <c r="AG50" i="55"/>
  <c r="O154" i="55"/>
  <c r="P45" i="55"/>
  <c r="P70" i="55"/>
  <c r="Q41" i="55"/>
  <c r="Q70" i="55" s="1"/>
  <c r="N168" i="55"/>
  <c r="N164" i="55"/>
  <c r="N169" i="55"/>
  <c r="N172" i="55"/>
  <c r="N171" i="55"/>
  <c r="N170" i="55"/>
  <c r="N166" i="55"/>
  <c r="N167" i="55"/>
  <c r="O80" i="55"/>
  <c r="O85" i="55"/>
  <c r="O87" i="55"/>
  <c r="O84" i="55"/>
  <c r="O89" i="55"/>
  <c r="O86" i="55"/>
  <c r="O90" i="55"/>
  <c r="O83" i="55"/>
  <c r="O82" i="55"/>
  <c r="V70" i="55"/>
  <c r="W41" i="55"/>
  <c r="AG154" i="55"/>
  <c r="AH45" i="55"/>
  <c r="Y230" i="55"/>
  <c r="Z53" i="55"/>
  <c r="W91" i="55"/>
  <c r="X42" i="55"/>
  <c r="R134" i="55" l="1"/>
  <c r="S134" i="55" s="1"/>
  <c r="R139" i="55"/>
  <c r="O18" i="47" s="1"/>
  <c r="R140" i="55"/>
  <c r="O13" i="47" s="1"/>
  <c r="R138" i="55"/>
  <c r="O14" i="47" s="1"/>
  <c r="R151" i="55"/>
  <c r="O20" i="47" s="1"/>
  <c r="R144" i="55"/>
  <c r="O19" i="47" s="1"/>
  <c r="R142" i="55"/>
  <c r="S142" i="55" s="1"/>
  <c r="P12" i="47" s="1"/>
  <c r="R136" i="55"/>
  <c r="O16" i="47" s="1"/>
  <c r="R137" i="55"/>
  <c r="R141" i="55"/>
  <c r="O17" i="47" s="1"/>
  <c r="N10" i="47"/>
  <c r="R135" i="55"/>
  <c r="O242" i="55"/>
  <c r="O246" i="55"/>
  <c r="O231" i="55"/>
  <c r="O247" i="55"/>
  <c r="O248" i="55"/>
  <c r="O251" i="55"/>
  <c r="O245" i="55"/>
  <c r="O250" i="55"/>
  <c r="O252" i="55"/>
  <c r="O249" i="55"/>
  <c r="O232" i="55"/>
  <c r="O244" i="55"/>
  <c r="AG133" i="55"/>
  <c r="AH44" i="55"/>
  <c r="P173" i="55"/>
  <c r="Q46" i="55"/>
  <c r="Q173" i="55" s="1"/>
  <c r="AJ91" i="55"/>
  <c r="AK42" i="55"/>
  <c r="W153" i="55"/>
  <c r="W148" i="55"/>
  <c r="W146" i="55"/>
  <c r="W147" i="55"/>
  <c r="W150" i="55"/>
  <c r="W145" i="55"/>
  <c r="W149" i="55"/>
  <c r="W143" i="55"/>
  <c r="W152" i="55"/>
  <c r="AH173" i="55"/>
  <c r="AI46" i="55"/>
  <c r="X133" i="55"/>
  <c r="Y44" i="55"/>
  <c r="Q42" i="55"/>
  <c r="Q91" i="55" s="1"/>
  <c r="P91" i="55"/>
  <c r="P192" i="55"/>
  <c r="Q50" i="55"/>
  <c r="Q192" i="55" s="1"/>
  <c r="Y211" i="55"/>
  <c r="Z51" i="55"/>
  <c r="P72" i="55"/>
  <c r="M31" i="47" s="1"/>
  <c r="P83" i="55"/>
  <c r="Q83" i="55" s="1"/>
  <c r="R83" i="55" s="1"/>
  <c r="S83" i="55" s="1"/>
  <c r="T83" i="55" s="1"/>
  <c r="U83" i="55" s="1"/>
  <c r="V83" i="55" s="1"/>
  <c r="P73" i="55"/>
  <c r="M37" i="47" s="1"/>
  <c r="P88" i="55"/>
  <c r="M40" i="47" s="1"/>
  <c r="P75" i="55"/>
  <c r="M35" i="47" s="1"/>
  <c r="P71" i="55"/>
  <c r="M36" i="47" s="1"/>
  <c r="P82" i="55"/>
  <c r="Q82" i="55" s="1"/>
  <c r="R82" i="55" s="1"/>
  <c r="S82" i="55" s="1"/>
  <c r="T82" i="55" s="1"/>
  <c r="U82" i="55" s="1"/>
  <c r="V82" i="55" s="1"/>
  <c r="P90" i="55"/>
  <c r="Q90" i="55" s="1"/>
  <c r="R90" i="55" s="1"/>
  <c r="S90" i="55" s="1"/>
  <c r="T90" i="55" s="1"/>
  <c r="U90" i="55" s="1"/>
  <c r="V90" i="55" s="1"/>
  <c r="P87" i="55"/>
  <c r="Q87" i="55" s="1"/>
  <c r="R87" i="55" s="1"/>
  <c r="S87" i="55" s="1"/>
  <c r="T87" i="55" s="1"/>
  <c r="U87" i="55" s="1"/>
  <c r="V87" i="55" s="1"/>
  <c r="P78" i="55"/>
  <c r="M38" i="47" s="1"/>
  <c r="P74" i="55"/>
  <c r="M32" i="47" s="1"/>
  <c r="P77" i="55"/>
  <c r="M34" i="47" s="1"/>
  <c r="P81" i="55"/>
  <c r="M41" i="47" s="1"/>
  <c r="P76" i="55"/>
  <c r="M39" i="47" s="1"/>
  <c r="P85" i="55"/>
  <c r="Q85" i="55" s="1"/>
  <c r="R85" i="55" s="1"/>
  <c r="S85" i="55" s="1"/>
  <c r="T85" i="55" s="1"/>
  <c r="U85" i="55" s="1"/>
  <c r="V85" i="55" s="1"/>
  <c r="P89" i="55"/>
  <c r="Q89" i="55" s="1"/>
  <c r="R89" i="55" s="1"/>
  <c r="S89" i="55" s="1"/>
  <c r="T89" i="55" s="1"/>
  <c r="U89" i="55" s="1"/>
  <c r="V89" i="55" s="1"/>
  <c r="P80" i="55"/>
  <c r="Q80" i="55" s="1"/>
  <c r="R80" i="55" s="1"/>
  <c r="S80" i="55" s="1"/>
  <c r="T80" i="55" s="1"/>
  <c r="U80" i="55" s="1"/>
  <c r="V80" i="55" s="1"/>
  <c r="P86" i="55"/>
  <c r="Q86" i="55" s="1"/>
  <c r="R86" i="55" s="1"/>
  <c r="S86" i="55" s="1"/>
  <c r="T86" i="55" s="1"/>
  <c r="U86" i="55" s="1"/>
  <c r="V86" i="55" s="1"/>
  <c r="P84" i="55"/>
  <c r="Q84" i="55" s="1"/>
  <c r="R84" i="55" s="1"/>
  <c r="S84" i="55" s="1"/>
  <c r="T84" i="55" s="1"/>
  <c r="U84" i="55" s="1"/>
  <c r="V84" i="55" s="1"/>
  <c r="P79" i="55"/>
  <c r="M33" i="47" s="1"/>
  <c r="O111" i="55"/>
  <c r="O110" i="55"/>
  <c r="O103" i="55"/>
  <c r="O99" i="55"/>
  <c r="O107" i="55"/>
  <c r="O94" i="55"/>
  <c r="O100" i="55"/>
  <c r="O109" i="55"/>
  <c r="O106" i="55"/>
  <c r="O102" i="55"/>
  <c r="O93" i="55"/>
  <c r="O105" i="55"/>
  <c r="O95" i="55"/>
  <c r="O92" i="55"/>
  <c r="O96" i="55"/>
  <c r="O104" i="55"/>
  <c r="O108" i="55"/>
  <c r="O101" i="55"/>
  <c r="O97" i="55"/>
  <c r="O98" i="55"/>
  <c r="P121" i="55"/>
  <c r="Q121" i="55" s="1"/>
  <c r="R121" i="55" s="1"/>
  <c r="S121" i="55" s="1"/>
  <c r="T121" i="55" s="1"/>
  <c r="U121" i="55" s="1"/>
  <c r="V121" i="55" s="1"/>
  <c r="P123" i="55"/>
  <c r="Q123" i="55" s="1"/>
  <c r="R123" i="55" s="1"/>
  <c r="S123" i="55" s="1"/>
  <c r="T123" i="55" s="1"/>
  <c r="U123" i="55" s="1"/>
  <c r="V123" i="55" s="1"/>
  <c r="P127" i="55"/>
  <c r="Q127" i="55" s="1"/>
  <c r="R127" i="55" s="1"/>
  <c r="S127" i="55" s="1"/>
  <c r="T127" i="55" s="1"/>
  <c r="U127" i="55" s="1"/>
  <c r="V127" i="55" s="1"/>
  <c r="P114" i="55"/>
  <c r="Q114" i="55" s="1"/>
  <c r="R114" i="55" s="1"/>
  <c r="S114" i="55" s="1"/>
  <c r="T114" i="55" s="1"/>
  <c r="U114" i="55" s="1"/>
  <c r="V114" i="55" s="1"/>
  <c r="P129" i="55"/>
  <c r="Q129" i="55" s="1"/>
  <c r="R129" i="55" s="1"/>
  <c r="S129" i="55" s="1"/>
  <c r="T129" i="55" s="1"/>
  <c r="U129" i="55" s="1"/>
  <c r="V129" i="55" s="1"/>
  <c r="P132" i="55"/>
  <c r="Q132" i="55" s="1"/>
  <c r="R132" i="55" s="1"/>
  <c r="S132" i="55" s="1"/>
  <c r="T132" i="55" s="1"/>
  <c r="U132" i="55" s="1"/>
  <c r="V132" i="55" s="1"/>
  <c r="P115" i="55"/>
  <c r="Q115" i="55" s="1"/>
  <c r="R115" i="55" s="1"/>
  <c r="S115" i="55" s="1"/>
  <c r="T115" i="55" s="1"/>
  <c r="U115" i="55" s="1"/>
  <c r="V115" i="55" s="1"/>
  <c r="P124" i="55"/>
  <c r="Q124" i="55" s="1"/>
  <c r="R124" i="55" s="1"/>
  <c r="S124" i="55" s="1"/>
  <c r="T124" i="55" s="1"/>
  <c r="U124" i="55" s="1"/>
  <c r="V124" i="55" s="1"/>
  <c r="P117" i="55"/>
  <c r="Q117" i="55" s="1"/>
  <c r="R117" i="55" s="1"/>
  <c r="S117" i="55" s="1"/>
  <c r="T117" i="55" s="1"/>
  <c r="U117" i="55" s="1"/>
  <c r="V117" i="55" s="1"/>
  <c r="P128" i="55"/>
  <c r="Q128" i="55" s="1"/>
  <c r="R128" i="55" s="1"/>
  <c r="S128" i="55" s="1"/>
  <c r="T128" i="55" s="1"/>
  <c r="U128" i="55" s="1"/>
  <c r="V128" i="55" s="1"/>
  <c r="P113" i="55"/>
  <c r="Q113" i="55" s="1"/>
  <c r="R113" i="55" s="1"/>
  <c r="S113" i="55" s="1"/>
  <c r="T113" i="55" s="1"/>
  <c r="U113" i="55" s="1"/>
  <c r="V113" i="55" s="1"/>
  <c r="P126" i="55"/>
  <c r="Q126" i="55" s="1"/>
  <c r="R126" i="55" s="1"/>
  <c r="S126" i="55" s="1"/>
  <c r="T126" i="55" s="1"/>
  <c r="U126" i="55" s="1"/>
  <c r="V126" i="55" s="1"/>
  <c r="P118" i="55"/>
  <c r="Q118" i="55" s="1"/>
  <c r="R118" i="55" s="1"/>
  <c r="S118" i="55" s="1"/>
  <c r="T118" i="55" s="1"/>
  <c r="U118" i="55" s="1"/>
  <c r="V118" i="55" s="1"/>
  <c r="P125" i="55"/>
  <c r="Q125" i="55" s="1"/>
  <c r="R125" i="55" s="1"/>
  <c r="S125" i="55" s="1"/>
  <c r="T125" i="55" s="1"/>
  <c r="U125" i="55" s="1"/>
  <c r="V125" i="55" s="1"/>
  <c r="P122" i="55"/>
  <c r="Q122" i="55" s="1"/>
  <c r="R122" i="55" s="1"/>
  <c r="S122" i="55" s="1"/>
  <c r="T122" i="55" s="1"/>
  <c r="U122" i="55" s="1"/>
  <c r="V122" i="55" s="1"/>
  <c r="P131" i="55"/>
  <c r="Q131" i="55" s="1"/>
  <c r="R131" i="55" s="1"/>
  <c r="S131" i="55" s="1"/>
  <c r="T131" i="55" s="1"/>
  <c r="U131" i="55" s="1"/>
  <c r="V131" i="55" s="1"/>
  <c r="P116" i="55"/>
  <c r="Q116" i="55" s="1"/>
  <c r="R116" i="55" s="1"/>
  <c r="S116" i="55" s="1"/>
  <c r="T116" i="55" s="1"/>
  <c r="U116" i="55" s="1"/>
  <c r="V116" i="55" s="1"/>
  <c r="P120" i="55"/>
  <c r="Q120" i="55" s="1"/>
  <c r="R120" i="55" s="1"/>
  <c r="S120" i="55" s="1"/>
  <c r="T120" i="55" s="1"/>
  <c r="U120" i="55" s="1"/>
  <c r="V120" i="55" s="1"/>
  <c r="P130" i="55"/>
  <c r="Q130" i="55" s="1"/>
  <c r="R130" i="55" s="1"/>
  <c r="S130" i="55" s="1"/>
  <c r="T130" i="55" s="1"/>
  <c r="U130" i="55" s="1"/>
  <c r="V130" i="55" s="1"/>
  <c r="P119" i="55"/>
  <c r="Q119" i="55" s="1"/>
  <c r="R119" i="55" s="1"/>
  <c r="S119" i="55" s="1"/>
  <c r="T119" i="55" s="1"/>
  <c r="U119" i="55" s="1"/>
  <c r="V119" i="55" s="1"/>
  <c r="O205" i="55"/>
  <c r="O208" i="55"/>
  <c r="O207" i="55"/>
  <c r="O202" i="55"/>
  <c r="O204" i="55"/>
  <c r="O206" i="55"/>
  <c r="AH70" i="55"/>
  <c r="AI41" i="55"/>
  <c r="P154" i="55"/>
  <c r="Q45" i="55"/>
  <c r="Q154" i="55" s="1"/>
  <c r="P211" i="55"/>
  <c r="Q51" i="55"/>
  <c r="Q211" i="55" s="1"/>
  <c r="W112" i="55"/>
  <c r="X43" i="55"/>
  <c r="Y192" i="55"/>
  <c r="Z50" i="55"/>
  <c r="AH154" i="55"/>
  <c r="AI45" i="55"/>
  <c r="O166" i="55"/>
  <c r="O168" i="55"/>
  <c r="O170" i="55"/>
  <c r="O169" i="55"/>
  <c r="O172" i="55"/>
  <c r="O164" i="55"/>
  <c r="O167" i="55"/>
  <c r="O171" i="55"/>
  <c r="X173" i="55"/>
  <c r="Y46" i="55"/>
  <c r="O228" i="55"/>
  <c r="O226" i="55"/>
  <c r="O222" i="55"/>
  <c r="O224" i="55"/>
  <c r="O217" i="55"/>
  <c r="O227" i="55"/>
  <c r="O216" i="55"/>
  <c r="O220" i="55"/>
  <c r="O229" i="55"/>
  <c r="O212" i="55"/>
  <c r="O225" i="55"/>
  <c r="O221" i="55"/>
  <c r="O219" i="55"/>
  <c r="O218" i="55"/>
  <c r="O223" i="55"/>
  <c r="O214" i="55"/>
  <c r="O213" i="55"/>
  <c r="O215" i="55"/>
  <c r="AG192" i="55"/>
  <c r="AH50" i="55"/>
  <c r="AG230" i="55"/>
  <c r="AH53" i="55"/>
  <c r="Z230" i="55"/>
  <c r="AA53" i="55"/>
  <c r="AA230" i="55" s="1"/>
  <c r="W70" i="55"/>
  <c r="X41" i="55"/>
  <c r="AI112" i="55"/>
  <c r="AJ43" i="55"/>
  <c r="W154" i="55"/>
  <c r="X45" i="55"/>
  <c r="AG211" i="55"/>
  <c r="AH51" i="55"/>
  <c r="O174" i="55"/>
  <c r="O181" i="55"/>
  <c r="O188" i="55"/>
  <c r="O177" i="55"/>
  <c r="O180" i="55"/>
  <c r="O179" i="55"/>
  <c r="O175" i="55"/>
  <c r="O182" i="55"/>
  <c r="O176" i="55"/>
  <c r="O185" i="55"/>
  <c r="O187" i="55"/>
  <c r="O178" i="55"/>
  <c r="O183" i="55"/>
  <c r="O186" i="55"/>
  <c r="O184" i="55"/>
  <c r="O189" i="55"/>
  <c r="X91" i="55"/>
  <c r="Y42" i="55"/>
  <c r="P230" i="55"/>
  <c r="Q53" i="55"/>
  <c r="Q230" i="55" s="1"/>
  <c r="O15" i="47" l="1"/>
  <c r="S140" i="55"/>
  <c r="T140" i="55" s="1"/>
  <c r="S139" i="55"/>
  <c r="P18" i="47" s="1"/>
  <c r="S138" i="55"/>
  <c r="P14" i="47" s="1"/>
  <c r="T142" i="55"/>
  <c r="U142" i="55" s="1"/>
  <c r="S151" i="55"/>
  <c r="P20" i="47" s="1"/>
  <c r="S144" i="55"/>
  <c r="P19" i="47" s="1"/>
  <c r="Q71" i="55"/>
  <c r="N36" i="47" s="1"/>
  <c r="O12" i="47"/>
  <c r="S136" i="55"/>
  <c r="P16" i="47" s="1"/>
  <c r="S137" i="55"/>
  <c r="O11" i="47"/>
  <c r="S141" i="55"/>
  <c r="P17" i="47" s="1"/>
  <c r="Q88" i="55"/>
  <c r="N40" i="47" s="1"/>
  <c r="Q75" i="55"/>
  <c r="N35" i="47" s="1"/>
  <c r="Q77" i="55"/>
  <c r="N34" i="47" s="1"/>
  <c r="Q74" i="55"/>
  <c r="N32" i="47" s="1"/>
  <c r="Q78" i="55"/>
  <c r="N38" i="47" s="1"/>
  <c r="Q73" i="55"/>
  <c r="N37" i="47" s="1"/>
  <c r="Q81" i="55"/>
  <c r="N41" i="47" s="1"/>
  <c r="O10" i="47"/>
  <c r="S135" i="55"/>
  <c r="Q79" i="55"/>
  <c r="N33" i="47" s="1"/>
  <c r="Y173" i="55"/>
  <c r="Z46" i="55"/>
  <c r="Y91" i="55"/>
  <c r="Z42" i="55"/>
  <c r="P93" i="55"/>
  <c r="Q93" i="55" s="1"/>
  <c r="R93" i="55" s="1"/>
  <c r="S93" i="55" s="1"/>
  <c r="T93" i="55" s="1"/>
  <c r="U93" i="55" s="1"/>
  <c r="V93" i="55" s="1"/>
  <c r="W93" i="55" s="1"/>
  <c r="X93" i="55" s="1"/>
  <c r="P92" i="55"/>
  <c r="Q92" i="55" s="1"/>
  <c r="R92" i="55" s="1"/>
  <c r="S92" i="55" s="1"/>
  <c r="T92" i="55" s="1"/>
  <c r="U92" i="55" s="1"/>
  <c r="V92" i="55" s="1"/>
  <c r="W92" i="55" s="1"/>
  <c r="X92" i="55" s="1"/>
  <c r="P101" i="55"/>
  <c r="Q101" i="55" s="1"/>
  <c r="R101" i="55" s="1"/>
  <c r="S101" i="55" s="1"/>
  <c r="T101" i="55" s="1"/>
  <c r="U101" i="55" s="1"/>
  <c r="V101" i="55" s="1"/>
  <c r="W101" i="55" s="1"/>
  <c r="X101" i="55" s="1"/>
  <c r="P108" i="55"/>
  <c r="Q108" i="55" s="1"/>
  <c r="R108" i="55" s="1"/>
  <c r="S108" i="55" s="1"/>
  <c r="T108" i="55" s="1"/>
  <c r="U108" i="55" s="1"/>
  <c r="V108" i="55" s="1"/>
  <c r="W108" i="55" s="1"/>
  <c r="X108" i="55" s="1"/>
  <c r="P104" i="55"/>
  <c r="Q104" i="55" s="1"/>
  <c r="R104" i="55" s="1"/>
  <c r="S104" i="55" s="1"/>
  <c r="T104" i="55" s="1"/>
  <c r="U104" i="55" s="1"/>
  <c r="V104" i="55" s="1"/>
  <c r="W104" i="55" s="1"/>
  <c r="X104" i="55" s="1"/>
  <c r="P96" i="55"/>
  <c r="Q96" i="55" s="1"/>
  <c r="R96" i="55" s="1"/>
  <c r="S96" i="55" s="1"/>
  <c r="T96" i="55" s="1"/>
  <c r="U96" i="55" s="1"/>
  <c r="V96" i="55" s="1"/>
  <c r="W96" i="55" s="1"/>
  <c r="X96" i="55" s="1"/>
  <c r="P107" i="55"/>
  <c r="Q107" i="55" s="1"/>
  <c r="R107" i="55" s="1"/>
  <c r="S107" i="55" s="1"/>
  <c r="T107" i="55" s="1"/>
  <c r="U107" i="55" s="1"/>
  <c r="V107" i="55" s="1"/>
  <c r="W107" i="55" s="1"/>
  <c r="X107" i="55" s="1"/>
  <c r="P95" i="55"/>
  <c r="Q95" i="55" s="1"/>
  <c r="R95" i="55" s="1"/>
  <c r="S95" i="55" s="1"/>
  <c r="T95" i="55" s="1"/>
  <c r="U95" i="55" s="1"/>
  <c r="V95" i="55" s="1"/>
  <c r="W95" i="55" s="1"/>
  <c r="X95" i="55" s="1"/>
  <c r="P97" i="55"/>
  <c r="Q97" i="55" s="1"/>
  <c r="R97" i="55" s="1"/>
  <c r="S97" i="55" s="1"/>
  <c r="T97" i="55" s="1"/>
  <c r="U97" i="55" s="1"/>
  <c r="V97" i="55" s="1"/>
  <c r="W97" i="55" s="1"/>
  <c r="X97" i="55" s="1"/>
  <c r="P94" i="55"/>
  <c r="Q94" i="55" s="1"/>
  <c r="R94" i="55" s="1"/>
  <c r="S94" i="55" s="1"/>
  <c r="T94" i="55" s="1"/>
  <c r="U94" i="55" s="1"/>
  <c r="V94" i="55" s="1"/>
  <c r="W94" i="55" s="1"/>
  <c r="X94" i="55" s="1"/>
  <c r="P103" i="55"/>
  <c r="Q103" i="55" s="1"/>
  <c r="R103" i="55" s="1"/>
  <c r="S103" i="55" s="1"/>
  <c r="T103" i="55" s="1"/>
  <c r="U103" i="55" s="1"/>
  <c r="V103" i="55" s="1"/>
  <c r="W103" i="55" s="1"/>
  <c r="X103" i="55" s="1"/>
  <c r="P98" i="55"/>
  <c r="Q98" i="55" s="1"/>
  <c r="R98" i="55" s="1"/>
  <c r="S98" i="55" s="1"/>
  <c r="T98" i="55" s="1"/>
  <c r="U98" i="55" s="1"/>
  <c r="V98" i="55" s="1"/>
  <c r="W98" i="55" s="1"/>
  <c r="X98" i="55" s="1"/>
  <c r="P100" i="55"/>
  <c r="Q100" i="55" s="1"/>
  <c r="R100" i="55" s="1"/>
  <c r="S100" i="55" s="1"/>
  <c r="T100" i="55" s="1"/>
  <c r="U100" i="55" s="1"/>
  <c r="V100" i="55" s="1"/>
  <c r="W100" i="55" s="1"/>
  <c r="X100" i="55" s="1"/>
  <c r="P106" i="55"/>
  <c r="Q106" i="55" s="1"/>
  <c r="R106" i="55" s="1"/>
  <c r="S106" i="55" s="1"/>
  <c r="T106" i="55" s="1"/>
  <c r="U106" i="55" s="1"/>
  <c r="V106" i="55" s="1"/>
  <c r="W106" i="55" s="1"/>
  <c r="X106" i="55" s="1"/>
  <c r="P111" i="55"/>
  <c r="Q111" i="55" s="1"/>
  <c r="R111" i="55" s="1"/>
  <c r="S111" i="55" s="1"/>
  <c r="T111" i="55" s="1"/>
  <c r="U111" i="55" s="1"/>
  <c r="V111" i="55" s="1"/>
  <c r="W111" i="55" s="1"/>
  <c r="X111" i="55" s="1"/>
  <c r="P109" i="55"/>
  <c r="Q109" i="55" s="1"/>
  <c r="R109" i="55" s="1"/>
  <c r="S109" i="55" s="1"/>
  <c r="T109" i="55" s="1"/>
  <c r="U109" i="55" s="1"/>
  <c r="V109" i="55" s="1"/>
  <c r="W109" i="55" s="1"/>
  <c r="X109" i="55" s="1"/>
  <c r="P99" i="55"/>
  <c r="Q99" i="55" s="1"/>
  <c r="R99" i="55" s="1"/>
  <c r="S99" i="55" s="1"/>
  <c r="T99" i="55" s="1"/>
  <c r="U99" i="55" s="1"/>
  <c r="V99" i="55" s="1"/>
  <c r="W99" i="55" s="1"/>
  <c r="X99" i="55" s="1"/>
  <c r="P102" i="55"/>
  <c r="Q102" i="55" s="1"/>
  <c r="R102" i="55" s="1"/>
  <c r="S102" i="55" s="1"/>
  <c r="T102" i="55" s="1"/>
  <c r="U102" i="55" s="1"/>
  <c r="V102" i="55" s="1"/>
  <c r="W102" i="55" s="1"/>
  <c r="X102" i="55" s="1"/>
  <c r="P110" i="55"/>
  <c r="Q110" i="55" s="1"/>
  <c r="R110" i="55" s="1"/>
  <c r="S110" i="55" s="1"/>
  <c r="T110" i="55" s="1"/>
  <c r="U110" i="55" s="1"/>
  <c r="V110" i="55" s="1"/>
  <c r="W110" i="55" s="1"/>
  <c r="X110" i="55" s="1"/>
  <c r="P105" i="55"/>
  <c r="Q105" i="55" s="1"/>
  <c r="R105" i="55" s="1"/>
  <c r="S105" i="55" s="1"/>
  <c r="T105" i="55" s="1"/>
  <c r="U105" i="55" s="1"/>
  <c r="V105" i="55" s="1"/>
  <c r="W105" i="55" s="1"/>
  <c r="X105" i="55" s="1"/>
  <c r="AH133" i="55"/>
  <c r="AI44" i="55"/>
  <c r="X70" i="55"/>
  <c r="Y41" i="55"/>
  <c r="Z192" i="55"/>
  <c r="AA50" i="55"/>
  <c r="AA192" i="55" s="1"/>
  <c r="AI70" i="55"/>
  <c r="AJ41" i="55"/>
  <c r="X153" i="55"/>
  <c r="X146" i="55"/>
  <c r="X147" i="55"/>
  <c r="X148" i="55"/>
  <c r="X150" i="55"/>
  <c r="X145" i="55"/>
  <c r="X149" i="55"/>
  <c r="X143" i="55"/>
  <c r="X152" i="55"/>
  <c r="W83" i="55"/>
  <c r="W82" i="55"/>
  <c r="W80" i="55"/>
  <c r="W86" i="55"/>
  <c r="W85" i="55"/>
  <c r="W87" i="55"/>
  <c r="W84" i="55"/>
  <c r="W90" i="55"/>
  <c r="W89" i="55"/>
  <c r="Z211" i="55"/>
  <c r="AA51" i="55"/>
  <c r="AA211" i="55" s="1"/>
  <c r="AI173" i="55"/>
  <c r="AJ46" i="55"/>
  <c r="AH211" i="55"/>
  <c r="AI51" i="55"/>
  <c r="P158" i="55"/>
  <c r="M43" i="47" s="1"/>
  <c r="P161" i="55"/>
  <c r="M45" i="47" s="1"/>
  <c r="P169" i="55"/>
  <c r="Q169" i="55" s="1"/>
  <c r="R169" i="55" s="1"/>
  <c r="S169" i="55" s="1"/>
  <c r="T169" i="55" s="1"/>
  <c r="U169" i="55" s="1"/>
  <c r="V169" i="55" s="1"/>
  <c r="W169" i="55" s="1"/>
  <c r="P166" i="55"/>
  <c r="Q166" i="55" s="1"/>
  <c r="R166" i="55" s="1"/>
  <c r="S166" i="55" s="1"/>
  <c r="T166" i="55" s="1"/>
  <c r="U166" i="55" s="1"/>
  <c r="V166" i="55" s="1"/>
  <c r="W166" i="55" s="1"/>
  <c r="P172" i="55"/>
  <c r="Q172" i="55" s="1"/>
  <c r="R172" i="55" s="1"/>
  <c r="S172" i="55" s="1"/>
  <c r="T172" i="55" s="1"/>
  <c r="U172" i="55" s="1"/>
  <c r="V172" i="55" s="1"/>
  <c r="W172" i="55" s="1"/>
  <c r="P157" i="55"/>
  <c r="M48" i="47" s="1"/>
  <c r="P165" i="55"/>
  <c r="M51" i="47" s="1"/>
  <c r="P163" i="55"/>
  <c r="M44" i="47" s="1"/>
  <c r="P156" i="55"/>
  <c r="M42" i="47" s="1"/>
  <c r="P168" i="55"/>
  <c r="Q168" i="55" s="1"/>
  <c r="R168" i="55" s="1"/>
  <c r="S168" i="55" s="1"/>
  <c r="T168" i="55" s="1"/>
  <c r="U168" i="55" s="1"/>
  <c r="V168" i="55" s="1"/>
  <c r="W168" i="55" s="1"/>
  <c r="P171" i="55"/>
  <c r="Q171" i="55" s="1"/>
  <c r="R171" i="55" s="1"/>
  <c r="S171" i="55" s="1"/>
  <c r="T171" i="55" s="1"/>
  <c r="U171" i="55" s="1"/>
  <c r="V171" i="55" s="1"/>
  <c r="W171" i="55" s="1"/>
  <c r="P155" i="55"/>
  <c r="M47" i="47" s="1"/>
  <c r="P164" i="55"/>
  <c r="Q164" i="55" s="1"/>
  <c r="R164" i="55" s="1"/>
  <c r="S164" i="55" s="1"/>
  <c r="T164" i="55" s="1"/>
  <c r="U164" i="55" s="1"/>
  <c r="V164" i="55" s="1"/>
  <c r="W164" i="55" s="1"/>
  <c r="P159" i="55"/>
  <c r="M46" i="47" s="1"/>
  <c r="P162" i="55"/>
  <c r="M49" i="47" s="1"/>
  <c r="P170" i="55"/>
  <c r="Q170" i="55" s="1"/>
  <c r="R170" i="55" s="1"/>
  <c r="S170" i="55" s="1"/>
  <c r="T170" i="55" s="1"/>
  <c r="U170" i="55" s="1"/>
  <c r="V170" i="55" s="1"/>
  <c r="W170" i="55" s="1"/>
  <c r="P160" i="55"/>
  <c r="M50" i="47" s="1"/>
  <c r="P167" i="55"/>
  <c r="Q167" i="55" s="1"/>
  <c r="R167" i="55" s="1"/>
  <c r="S167" i="55" s="1"/>
  <c r="T167" i="55" s="1"/>
  <c r="U167" i="55" s="1"/>
  <c r="V167" i="55" s="1"/>
  <c r="W167" i="55" s="1"/>
  <c r="X154" i="55"/>
  <c r="Y45" i="55"/>
  <c r="AH230" i="55"/>
  <c r="AI53" i="55"/>
  <c r="AH192" i="55"/>
  <c r="AI50" i="55"/>
  <c r="X112" i="55"/>
  <c r="Y43" i="55"/>
  <c r="P193" i="55"/>
  <c r="M26" i="47" s="1"/>
  <c r="P200" i="55"/>
  <c r="M28" i="47" s="1"/>
  <c r="P206" i="55"/>
  <c r="Q206" i="55" s="1"/>
  <c r="R206" i="55" s="1"/>
  <c r="S206" i="55" s="1"/>
  <c r="T206" i="55" s="1"/>
  <c r="U206" i="55" s="1"/>
  <c r="V206" i="55" s="1"/>
  <c r="W206" i="55" s="1"/>
  <c r="X206" i="55" s="1"/>
  <c r="Y206" i="55" s="1"/>
  <c r="P203" i="55"/>
  <c r="M30" i="47" s="1"/>
  <c r="P197" i="55"/>
  <c r="M25" i="47" s="1"/>
  <c r="P198" i="55"/>
  <c r="M29" i="47" s="1"/>
  <c r="P204" i="55"/>
  <c r="Q204" i="55" s="1"/>
  <c r="R204" i="55" s="1"/>
  <c r="S204" i="55" s="1"/>
  <c r="T204" i="55" s="1"/>
  <c r="U204" i="55" s="1"/>
  <c r="V204" i="55" s="1"/>
  <c r="W204" i="55" s="1"/>
  <c r="X204" i="55" s="1"/>
  <c r="Y204" i="55" s="1"/>
  <c r="P208" i="55"/>
  <c r="Q208" i="55" s="1"/>
  <c r="R208" i="55" s="1"/>
  <c r="S208" i="55" s="1"/>
  <c r="T208" i="55" s="1"/>
  <c r="U208" i="55" s="1"/>
  <c r="V208" i="55" s="1"/>
  <c r="W208" i="55" s="1"/>
  <c r="X208" i="55" s="1"/>
  <c r="Y208" i="55" s="1"/>
  <c r="P194" i="55"/>
  <c r="M21" i="47" s="1"/>
  <c r="P199" i="55"/>
  <c r="M24" i="47" s="1"/>
  <c r="P201" i="55"/>
  <c r="M23" i="47" s="1"/>
  <c r="P205" i="55"/>
  <c r="Q205" i="55" s="1"/>
  <c r="R205" i="55" s="1"/>
  <c r="S205" i="55" s="1"/>
  <c r="T205" i="55" s="1"/>
  <c r="U205" i="55" s="1"/>
  <c r="V205" i="55" s="1"/>
  <c r="W205" i="55" s="1"/>
  <c r="X205" i="55" s="1"/>
  <c r="Y205" i="55" s="1"/>
  <c r="P202" i="55"/>
  <c r="Q202" i="55" s="1"/>
  <c r="R202" i="55" s="1"/>
  <c r="S202" i="55" s="1"/>
  <c r="T202" i="55" s="1"/>
  <c r="U202" i="55" s="1"/>
  <c r="V202" i="55" s="1"/>
  <c r="W202" i="55" s="1"/>
  <c r="X202" i="55" s="1"/>
  <c r="Y202" i="55" s="1"/>
  <c r="P195" i="55"/>
  <c r="M27" i="47" s="1"/>
  <c r="P207" i="55"/>
  <c r="Q207" i="55" s="1"/>
  <c r="R207" i="55" s="1"/>
  <c r="S207" i="55" s="1"/>
  <c r="T207" i="55" s="1"/>
  <c r="U207" i="55" s="1"/>
  <c r="V207" i="55" s="1"/>
  <c r="W207" i="55" s="1"/>
  <c r="X207" i="55" s="1"/>
  <c r="Y207" i="55" s="1"/>
  <c r="P196" i="55"/>
  <c r="M22" i="47" s="1"/>
  <c r="AJ112" i="55"/>
  <c r="AK43" i="55"/>
  <c r="W127" i="55"/>
  <c r="W125" i="55"/>
  <c r="W124" i="55"/>
  <c r="W132" i="55"/>
  <c r="W121" i="55"/>
  <c r="W116" i="55"/>
  <c r="W118" i="55"/>
  <c r="W131" i="55"/>
  <c r="W126" i="55"/>
  <c r="W113" i="55"/>
  <c r="W123" i="55"/>
  <c r="W117" i="55"/>
  <c r="W114" i="55"/>
  <c r="W122" i="55"/>
  <c r="W128" i="55"/>
  <c r="W130" i="55"/>
  <c r="W119" i="55"/>
  <c r="W120" i="55"/>
  <c r="W115" i="55"/>
  <c r="W129" i="55"/>
  <c r="P15" i="47"/>
  <c r="T134" i="55"/>
  <c r="P185" i="55"/>
  <c r="Q185" i="55" s="1"/>
  <c r="R185" i="55" s="1"/>
  <c r="S185" i="55" s="1"/>
  <c r="T185" i="55" s="1"/>
  <c r="U185" i="55" s="1"/>
  <c r="V185" i="55" s="1"/>
  <c r="W185" i="55" s="1"/>
  <c r="X185" i="55" s="1"/>
  <c r="P183" i="55"/>
  <c r="Q183" i="55" s="1"/>
  <c r="R183" i="55" s="1"/>
  <c r="S183" i="55" s="1"/>
  <c r="T183" i="55" s="1"/>
  <c r="U183" i="55" s="1"/>
  <c r="V183" i="55" s="1"/>
  <c r="W183" i="55" s="1"/>
  <c r="X183" i="55" s="1"/>
  <c r="P182" i="55"/>
  <c r="Q182" i="55" s="1"/>
  <c r="R182" i="55" s="1"/>
  <c r="S182" i="55" s="1"/>
  <c r="T182" i="55" s="1"/>
  <c r="U182" i="55" s="1"/>
  <c r="V182" i="55" s="1"/>
  <c r="W182" i="55" s="1"/>
  <c r="X182" i="55" s="1"/>
  <c r="P180" i="55"/>
  <c r="Q180" i="55" s="1"/>
  <c r="R180" i="55" s="1"/>
  <c r="S180" i="55" s="1"/>
  <c r="T180" i="55" s="1"/>
  <c r="U180" i="55" s="1"/>
  <c r="V180" i="55" s="1"/>
  <c r="W180" i="55" s="1"/>
  <c r="X180" i="55" s="1"/>
  <c r="P174" i="55"/>
  <c r="Q174" i="55" s="1"/>
  <c r="R174" i="55" s="1"/>
  <c r="S174" i="55" s="1"/>
  <c r="T174" i="55" s="1"/>
  <c r="U174" i="55" s="1"/>
  <c r="V174" i="55" s="1"/>
  <c r="W174" i="55" s="1"/>
  <c r="X174" i="55" s="1"/>
  <c r="P189" i="55"/>
  <c r="Q189" i="55" s="1"/>
  <c r="R189" i="55" s="1"/>
  <c r="S189" i="55" s="1"/>
  <c r="T189" i="55" s="1"/>
  <c r="U189" i="55" s="1"/>
  <c r="V189" i="55" s="1"/>
  <c r="W189" i="55" s="1"/>
  <c r="X189" i="55" s="1"/>
  <c r="P181" i="55"/>
  <c r="Q181" i="55" s="1"/>
  <c r="R181" i="55" s="1"/>
  <c r="S181" i="55" s="1"/>
  <c r="T181" i="55" s="1"/>
  <c r="U181" i="55" s="1"/>
  <c r="V181" i="55" s="1"/>
  <c r="W181" i="55" s="1"/>
  <c r="X181" i="55" s="1"/>
  <c r="P186" i="55"/>
  <c r="Q186" i="55" s="1"/>
  <c r="R186" i="55" s="1"/>
  <c r="S186" i="55" s="1"/>
  <c r="T186" i="55" s="1"/>
  <c r="U186" i="55" s="1"/>
  <c r="V186" i="55" s="1"/>
  <c r="W186" i="55" s="1"/>
  <c r="X186" i="55" s="1"/>
  <c r="P187" i="55"/>
  <c r="Q187" i="55" s="1"/>
  <c r="R187" i="55" s="1"/>
  <c r="S187" i="55" s="1"/>
  <c r="T187" i="55" s="1"/>
  <c r="U187" i="55" s="1"/>
  <c r="V187" i="55" s="1"/>
  <c r="W187" i="55" s="1"/>
  <c r="X187" i="55" s="1"/>
  <c r="P188" i="55"/>
  <c r="Q188" i="55" s="1"/>
  <c r="R188" i="55" s="1"/>
  <c r="S188" i="55" s="1"/>
  <c r="T188" i="55" s="1"/>
  <c r="U188" i="55" s="1"/>
  <c r="V188" i="55" s="1"/>
  <c r="W188" i="55" s="1"/>
  <c r="X188" i="55" s="1"/>
  <c r="P175" i="55"/>
  <c r="Q175" i="55" s="1"/>
  <c r="R175" i="55" s="1"/>
  <c r="S175" i="55" s="1"/>
  <c r="T175" i="55" s="1"/>
  <c r="U175" i="55" s="1"/>
  <c r="V175" i="55" s="1"/>
  <c r="W175" i="55" s="1"/>
  <c r="X175" i="55" s="1"/>
  <c r="P178" i="55"/>
  <c r="Q178" i="55" s="1"/>
  <c r="R178" i="55" s="1"/>
  <c r="S178" i="55" s="1"/>
  <c r="T178" i="55" s="1"/>
  <c r="U178" i="55" s="1"/>
  <c r="V178" i="55" s="1"/>
  <c r="W178" i="55" s="1"/>
  <c r="X178" i="55" s="1"/>
  <c r="P177" i="55"/>
  <c r="Q177" i="55" s="1"/>
  <c r="R177" i="55" s="1"/>
  <c r="S177" i="55" s="1"/>
  <c r="T177" i="55" s="1"/>
  <c r="U177" i="55" s="1"/>
  <c r="V177" i="55" s="1"/>
  <c r="W177" i="55" s="1"/>
  <c r="X177" i="55" s="1"/>
  <c r="P184" i="55"/>
  <c r="Q184" i="55" s="1"/>
  <c r="R184" i="55" s="1"/>
  <c r="S184" i="55" s="1"/>
  <c r="T184" i="55" s="1"/>
  <c r="U184" i="55" s="1"/>
  <c r="V184" i="55" s="1"/>
  <c r="W184" i="55" s="1"/>
  <c r="X184" i="55" s="1"/>
  <c r="P179" i="55"/>
  <c r="Q179" i="55" s="1"/>
  <c r="R179" i="55" s="1"/>
  <c r="S179" i="55" s="1"/>
  <c r="T179" i="55" s="1"/>
  <c r="U179" i="55" s="1"/>
  <c r="V179" i="55" s="1"/>
  <c r="W179" i="55" s="1"/>
  <c r="X179" i="55" s="1"/>
  <c r="P176" i="55"/>
  <c r="Q176" i="55" s="1"/>
  <c r="R176" i="55" s="1"/>
  <c r="S176" i="55" s="1"/>
  <c r="T176" i="55" s="1"/>
  <c r="U176" i="55" s="1"/>
  <c r="V176" i="55" s="1"/>
  <c r="W176" i="55" s="1"/>
  <c r="X176" i="55" s="1"/>
  <c r="P236" i="55"/>
  <c r="M53" i="47" s="1"/>
  <c r="P248" i="55"/>
  <c r="Q248" i="55" s="1"/>
  <c r="R248" i="55" s="1"/>
  <c r="S248" i="55" s="1"/>
  <c r="T248" i="55" s="1"/>
  <c r="U248" i="55" s="1"/>
  <c r="V248" i="55" s="1"/>
  <c r="W248" i="55" s="1"/>
  <c r="X248" i="55" s="1"/>
  <c r="Y248" i="55" s="1"/>
  <c r="Z248" i="55" s="1"/>
  <c r="AA248" i="55" s="1"/>
  <c r="AB248" i="55" s="1"/>
  <c r="AC248" i="55" s="1"/>
  <c r="AD248" i="55" s="1"/>
  <c r="AE248" i="55" s="1"/>
  <c r="AF248" i="55" s="1"/>
  <c r="AG248" i="55" s="1"/>
  <c r="P246" i="55"/>
  <c r="Q246" i="55" s="1"/>
  <c r="R246" i="55" s="1"/>
  <c r="S246" i="55" s="1"/>
  <c r="T246" i="55" s="1"/>
  <c r="U246" i="55" s="1"/>
  <c r="V246" i="55" s="1"/>
  <c r="W246" i="55" s="1"/>
  <c r="X246" i="55" s="1"/>
  <c r="Y246" i="55" s="1"/>
  <c r="Z246" i="55" s="1"/>
  <c r="AA246" i="55" s="1"/>
  <c r="AB246" i="55" s="1"/>
  <c r="AC246" i="55" s="1"/>
  <c r="AD246" i="55" s="1"/>
  <c r="AE246" i="55" s="1"/>
  <c r="AF246" i="55" s="1"/>
  <c r="AG246" i="55" s="1"/>
  <c r="P240" i="55"/>
  <c r="M59" i="47" s="1"/>
  <c r="P235" i="55"/>
  <c r="M58" i="47" s="1"/>
  <c r="P233" i="55"/>
  <c r="M57" i="47" s="1"/>
  <c r="P252" i="55"/>
  <c r="Q252" i="55" s="1"/>
  <c r="R252" i="55" s="1"/>
  <c r="S252" i="55" s="1"/>
  <c r="T252" i="55" s="1"/>
  <c r="U252" i="55" s="1"/>
  <c r="V252" i="55" s="1"/>
  <c r="W252" i="55" s="1"/>
  <c r="X252" i="55" s="1"/>
  <c r="Y252" i="55" s="1"/>
  <c r="Z252" i="55" s="1"/>
  <c r="AA252" i="55" s="1"/>
  <c r="AB252" i="55" s="1"/>
  <c r="AC252" i="55" s="1"/>
  <c r="AD252" i="55" s="1"/>
  <c r="AE252" i="55" s="1"/>
  <c r="AF252" i="55" s="1"/>
  <c r="AG252" i="55" s="1"/>
  <c r="P234" i="55"/>
  <c r="M52" i="47" s="1"/>
  <c r="P237" i="55"/>
  <c r="M56" i="47" s="1"/>
  <c r="P231" i="55"/>
  <c r="Q231" i="55" s="1"/>
  <c r="R231" i="55" s="1"/>
  <c r="S231" i="55" s="1"/>
  <c r="T231" i="55" s="1"/>
  <c r="U231" i="55" s="1"/>
  <c r="V231" i="55" s="1"/>
  <c r="W231" i="55" s="1"/>
  <c r="X231" i="55" s="1"/>
  <c r="Y231" i="55" s="1"/>
  <c r="Z231" i="55" s="1"/>
  <c r="AA231" i="55" s="1"/>
  <c r="AB231" i="55" s="1"/>
  <c r="AC231" i="55" s="1"/>
  <c r="AD231" i="55" s="1"/>
  <c r="AE231" i="55" s="1"/>
  <c r="AF231" i="55" s="1"/>
  <c r="AG231" i="55" s="1"/>
  <c r="P249" i="55"/>
  <c r="Q249" i="55" s="1"/>
  <c r="R249" i="55" s="1"/>
  <c r="S249" i="55" s="1"/>
  <c r="T249" i="55" s="1"/>
  <c r="U249" i="55" s="1"/>
  <c r="V249" i="55" s="1"/>
  <c r="W249" i="55" s="1"/>
  <c r="X249" i="55" s="1"/>
  <c r="Y249" i="55" s="1"/>
  <c r="Z249" i="55" s="1"/>
  <c r="AA249" i="55" s="1"/>
  <c r="AB249" i="55" s="1"/>
  <c r="AC249" i="55" s="1"/>
  <c r="AD249" i="55" s="1"/>
  <c r="AE249" i="55" s="1"/>
  <c r="AF249" i="55" s="1"/>
  <c r="AG249" i="55" s="1"/>
  <c r="P241" i="55"/>
  <c r="M54" i="47" s="1"/>
  <c r="P245" i="55"/>
  <c r="Q245" i="55" s="1"/>
  <c r="R245" i="55" s="1"/>
  <c r="S245" i="55" s="1"/>
  <c r="T245" i="55" s="1"/>
  <c r="U245" i="55" s="1"/>
  <c r="V245" i="55" s="1"/>
  <c r="W245" i="55" s="1"/>
  <c r="X245" i="55" s="1"/>
  <c r="Y245" i="55" s="1"/>
  <c r="Z245" i="55" s="1"/>
  <c r="AA245" i="55" s="1"/>
  <c r="AB245" i="55" s="1"/>
  <c r="AC245" i="55" s="1"/>
  <c r="AD245" i="55" s="1"/>
  <c r="AE245" i="55" s="1"/>
  <c r="AF245" i="55" s="1"/>
  <c r="AG245" i="55" s="1"/>
  <c r="P250" i="55"/>
  <c r="Q250" i="55" s="1"/>
  <c r="R250" i="55" s="1"/>
  <c r="S250" i="55" s="1"/>
  <c r="T250" i="55" s="1"/>
  <c r="U250" i="55" s="1"/>
  <c r="V250" i="55" s="1"/>
  <c r="W250" i="55" s="1"/>
  <c r="X250" i="55" s="1"/>
  <c r="Y250" i="55" s="1"/>
  <c r="Z250" i="55" s="1"/>
  <c r="AA250" i="55" s="1"/>
  <c r="AB250" i="55" s="1"/>
  <c r="AC250" i="55" s="1"/>
  <c r="AD250" i="55" s="1"/>
  <c r="AE250" i="55" s="1"/>
  <c r="AF250" i="55" s="1"/>
  <c r="AG250" i="55" s="1"/>
  <c r="P243" i="55"/>
  <c r="M61" i="47" s="1"/>
  <c r="P244" i="55"/>
  <c r="Q244" i="55" s="1"/>
  <c r="R244" i="55" s="1"/>
  <c r="S244" i="55" s="1"/>
  <c r="T244" i="55" s="1"/>
  <c r="U244" i="55" s="1"/>
  <c r="V244" i="55" s="1"/>
  <c r="W244" i="55" s="1"/>
  <c r="X244" i="55" s="1"/>
  <c r="Y244" i="55" s="1"/>
  <c r="Z244" i="55" s="1"/>
  <c r="AA244" i="55" s="1"/>
  <c r="AB244" i="55" s="1"/>
  <c r="AC244" i="55" s="1"/>
  <c r="AD244" i="55" s="1"/>
  <c r="AE244" i="55" s="1"/>
  <c r="AF244" i="55" s="1"/>
  <c r="AG244" i="55" s="1"/>
  <c r="P242" i="55"/>
  <c r="Q242" i="55" s="1"/>
  <c r="R242" i="55" s="1"/>
  <c r="S242" i="55" s="1"/>
  <c r="T242" i="55" s="1"/>
  <c r="U242" i="55" s="1"/>
  <c r="V242" i="55" s="1"/>
  <c r="W242" i="55" s="1"/>
  <c r="X242" i="55" s="1"/>
  <c r="Y242" i="55" s="1"/>
  <c r="Z242" i="55" s="1"/>
  <c r="AA242" i="55" s="1"/>
  <c r="AB242" i="55" s="1"/>
  <c r="AC242" i="55" s="1"/>
  <c r="AD242" i="55" s="1"/>
  <c r="AE242" i="55" s="1"/>
  <c r="AF242" i="55" s="1"/>
  <c r="AG242" i="55" s="1"/>
  <c r="P251" i="55"/>
  <c r="Q251" i="55" s="1"/>
  <c r="R251" i="55" s="1"/>
  <c r="S251" i="55" s="1"/>
  <c r="T251" i="55" s="1"/>
  <c r="U251" i="55" s="1"/>
  <c r="V251" i="55" s="1"/>
  <c r="W251" i="55" s="1"/>
  <c r="X251" i="55" s="1"/>
  <c r="Y251" i="55" s="1"/>
  <c r="Z251" i="55" s="1"/>
  <c r="AA251" i="55" s="1"/>
  <c r="AB251" i="55" s="1"/>
  <c r="AC251" i="55" s="1"/>
  <c r="AD251" i="55" s="1"/>
  <c r="AE251" i="55" s="1"/>
  <c r="AF251" i="55" s="1"/>
  <c r="AG251" i="55" s="1"/>
  <c r="P247" i="55"/>
  <c r="Q247" i="55" s="1"/>
  <c r="R247" i="55" s="1"/>
  <c r="S247" i="55" s="1"/>
  <c r="T247" i="55" s="1"/>
  <c r="U247" i="55" s="1"/>
  <c r="V247" i="55" s="1"/>
  <c r="W247" i="55" s="1"/>
  <c r="X247" i="55" s="1"/>
  <c r="Y247" i="55" s="1"/>
  <c r="Z247" i="55" s="1"/>
  <c r="AA247" i="55" s="1"/>
  <c r="AB247" i="55" s="1"/>
  <c r="AC247" i="55" s="1"/>
  <c r="AD247" i="55" s="1"/>
  <c r="AE247" i="55" s="1"/>
  <c r="AF247" i="55" s="1"/>
  <c r="AG247" i="55" s="1"/>
  <c r="P253" i="55"/>
  <c r="M132" i="47" s="1"/>
  <c r="P239" i="55"/>
  <c r="M55" i="47" s="1"/>
  <c r="P238" i="55"/>
  <c r="M60" i="47" s="1"/>
  <c r="P232" i="55"/>
  <c r="Q232" i="55" s="1"/>
  <c r="R232" i="55" s="1"/>
  <c r="S232" i="55" s="1"/>
  <c r="T232" i="55" s="1"/>
  <c r="U232" i="55" s="1"/>
  <c r="V232" i="55" s="1"/>
  <c r="W232" i="55" s="1"/>
  <c r="X232" i="55" s="1"/>
  <c r="Y232" i="55" s="1"/>
  <c r="Z232" i="55" s="1"/>
  <c r="AA232" i="55" s="1"/>
  <c r="AB232" i="55" s="1"/>
  <c r="AC232" i="55" s="1"/>
  <c r="AD232" i="55" s="1"/>
  <c r="AE232" i="55" s="1"/>
  <c r="AF232" i="55" s="1"/>
  <c r="AG232" i="55" s="1"/>
  <c r="Q76" i="55"/>
  <c r="P222" i="55"/>
  <c r="Q222" i="55" s="1"/>
  <c r="R222" i="55" s="1"/>
  <c r="S222" i="55" s="1"/>
  <c r="T222" i="55" s="1"/>
  <c r="U222" i="55" s="1"/>
  <c r="V222" i="55" s="1"/>
  <c r="W222" i="55" s="1"/>
  <c r="X222" i="55" s="1"/>
  <c r="Y222" i="55" s="1"/>
  <c r="P220" i="55"/>
  <c r="Q220" i="55" s="1"/>
  <c r="R220" i="55" s="1"/>
  <c r="S220" i="55" s="1"/>
  <c r="T220" i="55" s="1"/>
  <c r="U220" i="55" s="1"/>
  <c r="V220" i="55" s="1"/>
  <c r="W220" i="55" s="1"/>
  <c r="X220" i="55" s="1"/>
  <c r="Y220" i="55" s="1"/>
  <c r="P228" i="55"/>
  <c r="Q228" i="55" s="1"/>
  <c r="R228" i="55" s="1"/>
  <c r="S228" i="55" s="1"/>
  <c r="T228" i="55" s="1"/>
  <c r="U228" i="55" s="1"/>
  <c r="V228" i="55" s="1"/>
  <c r="W228" i="55" s="1"/>
  <c r="X228" i="55" s="1"/>
  <c r="Y228" i="55" s="1"/>
  <c r="P212" i="55"/>
  <c r="Q212" i="55" s="1"/>
  <c r="R212" i="55" s="1"/>
  <c r="S212" i="55" s="1"/>
  <c r="T212" i="55" s="1"/>
  <c r="U212" i="55" s="1"/>
  <c r="V212" i="55" s="1"/>
  <c r="W212" i="55" s="1"/>
  <c r="X212" i="55" s="1"/>
  <c r="Y212" i="55" s="1"/>
  <c r="P221" i="55"/>
  <c r="Q221" i="55" s="1"/>
  <c r="R221" i="55" s="1"/>
  <c r="S221" i="55" s="1"/>
  <c r="T221" i="55" s="1"/>
  <c r="U221" i="55" s="1"/>
  <c r="V221" i="55" s="1"/>
  <c r="W221" i="55" s="1"/>
  <c r="X221" i="55" s="1"/>
  <c r="Y221" i="55" s="1"/>
  <c r="P219" i="55"/>
  <c r="Q219" i="55" s="1"/>
  <c r="R219" i="55" s="1"/>
  <c r="S219" i="55" s="1"/>
  <c r="T219" i="55" s="1"/>
  <c r="U219" i="55" s="1"/>
  <c r="V219" i="55" s="1"/>
  <c r="W219" i="55" s="1"/>
  <c r="X219" i="55" s="1"/>
  <c r="Y219" i="55" s="1"/>
  <c r="P217" i="55"/>
  <c r="Q217" i="55" s="1"/>
  <c r="R217" i="55" s="1"/>
  <c r="S217" i="55" s="1"/>
  <c r="T217" i="55" s="1"/>
  <c r="U217" i="55" s="1"/>
  <c r="V217" i="55" s="1"/>
  <c r="W217" i="55" s="1"/>
  <c r="X217" i="55" s="1"/>
  <c r="Y217" i="55" s="1"/>
  <c r="P224" i="55"/>
  <c r="Q224" i="55" s="1"/>
  <c r="R224" i="55" s="1"/>
  <c r="S224" i="55" s="1"/>
  <c r="T224" i="55" s="1"/>
  <c r="U224" i="55" s="1"/>
  <c r="V224" i="55" s="1"/>
  <c r="W224" i="55" s="1"/>
  <c r="X224" i="55" s="1"/>
  <c r="Y224" i="55" s="1"/>
  <c r="P214" i="55"/>
  <c r="Q214" i="55" s="1"/>
  <c r="R214" i="55" s="1"/>
  <c r="S214" i="55" s="1"/>
  <c r="T214" i="55" s="1"/>
  <c r="U214" i="55" s="1"/>
  <c r="V214" i="55" s="1"/>
  <c r="W214" i="55" s="1"/>
  <c r="X214" i="55" s="1"/>
  <c r="Y214" i="55" s="1"/>
  <c r="P216" i="55"/>
  <c r="Q216" i="55" s="1"/>
  <c r="R216" i="55" s="1"/>
  <c r="S216" i="55" s="1"/>
  <c r="T216" i="55" s="1"/>
  <c r="U216" i="55" s="1"/>
  <c r="V216" i="55" s="1"/>
  <c r="W216" i="55" s="1"/>
  <c r="X216" i="55" s="1"/>
  <c r="Y216" i="55" s="1"/>
  <c r="P215" i="55"/>
  <c r="Q215" i="55" s="1"/>
  <c r="R215" i="55" s="1"/>
  <c r="S215" i="55" s="1"/>
  <c r="T215" i="55" s="1"/>
  <c r="U215" i="55" s="1"/>
  <c r="V215" i="55" s="1"/>
  <c r="W215" i="55" s="1"/>
  <c r="X215" i="55" s="1"/>
  <c r="Y215" i="55" s="1"/>
  <c r="P229" i="55"/>
  <c r="Q229" i="55" s="1"/>
  <c r="R229" i="55" s="1"/>
  <c r="S229" i="55" s="1"/>
  <c r="T229" i="55" s="1"/>
  <c r="U229" i="55" s="1"/>
  <c r="V229" i="55" s="1"/>
  <c r="W229" i="55" s="1"/>
  <c r="X229" i="55" s="1"/>
  <c r="Y229" i="55" s="1"/>
  <c r="P225" i="55"/>
  <c r="Q225" i="55" s="1"/>
  <c r="R225" i="55" s="1"/>
  <c r="S225" i="55" s="1"/>
  <c r="T225" i="55" s="1"/>
  <c r="U225" i="55" s="1"/>
  <c r="V225" i="55" s="1"/>
  <c r="W225" i="55" s="1"/>
  <c r="X225" i="55" s="1"/>
  <c r="Y225" i="55" s="1"/>
  <c r="P227" i="55"/>
  <c r="Q227" i="55" s="1"/>
  <c r="R227" i="55" s="1"/>
  <c r="S227" i="55" s="1"/>
  <c r="T227" i="55" s="1"/>
  <c r="U227" i="55" s="1"/>
  <c r="V227" i="55" s="1"/>
  <c r="W227" i="55" s="1"/>
  <c r="X227" i="55" s="1"/>
  <c r="Y227" i="55" s="1"/>
  <c r="P218" i="55"/>
  <c r="Q218" i="55" s="1"/>
  <c r="R218" i="55" s="1"/>
  <c r="S218" i="55" s="1"/>
  <c r="T218" i="55" s="1"/>
  <c r="U218" i="55" s="1"/>
  <c r="V218" i="55" s="1"/>
  <c r="W218" i="55" s="1"/>
  <c r="X218" i="55" s="1"/>
  <c r="Y218" i="55" s="1"/>
  <c r="P213" i="55"/>
  <c r="Q213" i="55" s="1"/>
  <c r="R213" i="55" s="1"/>
  <c r="S213" i="55" s="1"/>
  <c r="T213" i="55" s="1"/>
  <c r="U213" i="55" s="1"/>
  <c r="V213" i="55" s="1"/>
  <c r="W213" i="55" s="1"/>
  <c r="X213" i="55" s="1"/>
  <c r="Y213" i="55" s="1"/>
  <c r="P226" i="55"/>
  <c r="Q226" i="55" s="1"/>
  <c r="R226" i="55" s="1"/>
  <c r="S226" i="55" s="1"/>
  <c r="T226" i="55" s="1"/>
  <c r="U226" i="55" s="1"/>
  <c r="V226" i="55" s="1"/>
  <c r="W226" i="55" s="1"/>
  <c r="X226" i="55" s="1"/>
  <c r="Y226" i="55" s="1"/>
  <c r="P223" i="55"/>
  <c r="Q223" i="55" s="1"/>
  <c r="R223" i="55" s="1"/>
  <c r="S223" i="55" s="1"/>
  <c r="T223" i="55" s="1"/>
  <c r="U223" i="55" s="1"/>
  <c r="V223" i="55" s="1"/>
  <c r="W223" i="55" s="1"/>
  <c r="X223" i="55" s="1"/>
  <c r="Y223" i="55" s="1"/>
  <c r="AK91" i="55"/>
  <c r="AL42" i="55"/>
  <c r="Y133" i="55"/>
  <c r="Z44" i="55"/>
  <c r="Q72" i="55"/>
  <c r="AI154" i="55"/>
  <c r="AJ45" i="55"/>
  <c r="P13" i="47" l="1"/>
  <c r="T139" i="55"/>
  <c r="Q18" i="47" s="1"/>
  <c r="T144" i="55"/>
  <c r="Q19" i="47" s="1"/>
  <c r="Q12" i="47"/>
  <c r="T138" i="55"/>
  <c r="Q14" i="47" s="1"/>
  <c r="T151" i="55"/>
  <c r="Q20" i="47" s="1"/>
  <c r="R71" i="55"/>
  <c r="O36" i="47" s="1"/>
  <c r="R75" i="55"/>
  <c r="O35" i="47" s="1"/>
  <c r="R79" i="55"/>
  <c r="S79" i="55" s="1"/>
  <c r="T141" i="55"/>
  <c r="Q17" i="47" s="1"/>
  <c r="R77" i="55"/>
  <c r="O34" i="47" s="1"/>
  <c r="R78" i="55"/>
  <c r="S78" i="55" s="1"/>
  <c r="T136" i="55"/>
  <c r="Q16" i="47" s="1"/>
  <c r="P11" i="47"/>
  <c r="T137" i="55"/>
  <c r="R74" i="55"/>
  <c r="R88" i="55"/>
  <c r="O40" i="47" s="1"/>
  <c r="R81" i="55"/>
  <c r="S81" i="55" s="1"/>
  <c r="R73" i="55"/>
  <c r="S73" i="55" s="1"/>
  <c r="P37" i="47" s="1"/>
  <c r="Q157" i="55"/>
  <c r="N48" i="47" s="1"/>
  <c r="Q162" i="55"/>
  <c r="N49" i="47" s="1"/>
  <c r="Q161" i="55"/>
  <c r="N45" i="47" s="1"/>
  <c r="Q165" i="55"/>
  <c r="N51" i="47" s="1"/>
  <c r="Q155" i="55"/>
  <c r="N47" i="47" s="1"/>
  <c r="Q163" i="55"/>
  <c r="N44" i="47" s="1"/>
  <c r="T135" i="55"/>
  <c r="P10" i="47"/>
  <c r="Q158" i="55"/>
  <c r="Q160" i="55"/>
  <c r="Q236" i="55"/>
  <c r="N53" i="47" s="1"/>
  <c r="Q239" i="55"/>
  <c r="N55" i="47" s="1"/>
  <c r="Q253" i="55"/>
  <c r="N132" i="47" s="1"/>
  <c r="Q197" i="55"/>
  <c r="N25" i="47" s="1"/>
  <c r="Q200" i="55"/>
  <c r="N28" i="47" s="1"/>
  <c r="Q235" i="55"/>
  <c r="N58" i="47" s="1"/>
  <c r="Q233" i="55"/>
  <c r="N57" i="47" s="1"/>
  <c r="Q159" i="55"/>
  <c r="N46" i="47" s="1"/>
  <c r="AI192" i="55"/>
  <c r="AJ50" i="55"/>
  <c r="AI230" i="55"/>
  <c r="AJ53" i="55"/>
  <c r="AJ173" i="55"/>
  <c r="AK46" i="55"/>
  <c r="Y70" i="55"/>
  <c r="Z41" i="55"/>
  <c r="AH247" i="55"/>
  <c r="AH231" i="55"/>
  <c r="AH251" i="55"/>
  <c r="AH250" i="55"/>
  <c r="AH249" i="55"/>
  <c r="AH232" i="55"/>
  <c r="AH246" i="55"/>
  <c r="AH248" i="55"/>
  <c r="AH244" i="55"/>
  <c r="AH245" i="55"/>
  <c r="AH252" i="55"/>
  <c r="AH242" i="55"/>
  <c r="Y154" i="55"/>
  <c r="Z45" i="55"/>
  <c r="X80" i="55"/>
  <c r="X83" i="55"/>
  <c r="X82" i="55"/>
  <c r="X86" i="55"/>
  <c r="X85" i="55"/>
  <c r="X84" i="55"/>
  <c r="X87" i="55"/>
  <c r="X90" i="55"/>
  <c r="X89" i="55"/>
  <c r="N31" i="47"/>
  <c r="R72" i="55"/>
  <c r="X168" i="55"/>
  <c r="X164" i="55"/>
  <c r="X169" i="55"/>
  <c r="X170" i="55"/>
  <c r="X172" i="55"/>
  <c r="X166" i="55"/>
  <c r="X167" i="55"/>
  <c r="X171" i="55"/>
  <c r="N39" i="47"/>
  <c r="R76" i="55"/>
  <c r="Q237" i="55"/>
  <c r="Q195" i="55"/>
  <c r="Z225" i="55"/>
  <c r="AA225" i="55" s="1"/>
  <c r="AB225" i="55" s="1"/>
  <c r="AC225" i="55" s="1"/>
  <c r="AD225" i="55" s="1"/>
  <c r="AE225" i="55" s="1"/>
  <c r="AF225" i="55" s="1"/>
  <c r="AG225" i="55" s="1"/>
  <c r="AH225" i="55" s="1"/>
  <c r="Z220" i="55"/>
  <c r="AA220" i="55" s="1"/>
  <c r="AB220" i="55" s="1"/>
  <c r="AC220" i="55" s="1"/>
  <c r="AD220" i="55" s="1"/>
  <c r="AE220" i="55" s="1"/>
  <c r="AF220" i="55" s="1"/>
  <c r="AG220" i="55" s="1"/>
  <c r="AH220" i="55" s="1"/>
  <c r="Z218" i="55"/>
  <c r="AA218" i="55" s="1"/>
  <c r="AB218" i="55" s="1"/>
  <c r="AC218" i="55" s="1"/>
  <c r="AD218" i="55" s="1"/>
  <c r="AE218" i="55" s="1"/>
  <c r="AF218" i="55" s="1"/>
  <c r="AG218" i="55" s="1"/>
  <c r="AH218" i="55" s="1"/>
  <c r="Z226" i="55"/>
  <c r="AA226" i="55" s="1"/>
  <c r="AB226" i="55" s="1"/>
  <c r="AC226" i="55" s="1"/>
  <c r="AD226" i="55" s="1"/>
  <c r="AE226" i="55" s="1"/>
  <c r="AF226" i="55" s="1"/>
  <c r="AG226" i="55" s="1"/>
  <c r="AH226" i="55" s="1"/>
  <c r="Z215" i="55"/>
  <c r="AA215" i="55" s="1"/>
  <c r="AB215" i="55" s="1"/>
  <c r="AC215" i="55" s="1"/>
  <c r="AD215" i="55" s="1"/>
  <c r="AE215" i="55" s="1"/>
  <c r="AF215" i="55" s="1"/>
  <c r="AG215" i="55" s="1"/>
  <c r="AH215" i="55" s="1"/>
  <c r="Z221" i="55"/>
  <c r="AA221" i="55" s="1"/>
  <c r="AB221" i="55" s="1"/>
  <c r="AC221" i="55" s="1"/>
  <c r="AD221" i="55" s="1"/>
  <c r="AE221" i="55" s="1"/>
  <c r="AF221" i="55" s="1"/>
  <c r="AG221" i="55" s="1"/>
  <c r="AH221" i="55" s="1"/>
  <c r="Z213" i="55"/>
  <c r="AA213" i="55" s="1"/>
  <c r="AB213" i="55" s="1"/>
  <c r="AC213" i="55" s="1"/>
  <c r="AD213" i="55" s="1"/>
  <c r="AE213" i="55" s="1"/>
  <c r="AF213" i="55" s="1"/>
  <c r="AG213" i="55" s="1"/>
  <c r="AH213" i="55" s="1"/>
  <c r="Z229" i="55"/>
  <c r="AA229" i="55" s="1"/>
  <c r="AB229" i="55" s="1"/>
  <c r="AC229" i="55" s="1"/>
  <c r="AD229" i="55" s="1"/>
  <c r="AE229" i="55" s="1"/>
  <c r="AF229" i="55" s="1"/>
  <c r="AG229" i="55" s="1"/>
  <c r="AH229" i="55" s="1"/>
  <c r="Z228" i="55"/>
  <c r="AA228" i="55" s="1"/>
  <c r="AB228" i="55" s="1"/>
  <c r="AC228" i="55" s="1"/>
  <c r="AD228" i="55" s="1"/>
  <c r="AE228" i="55" s="1"/>
  <c r="AF228" i="55" s="1"/>
  <c r="AG228" i="55" s="1"/>
  <c r="AH228" i="55" s="1"/>
  <c r="Z222" i="55"/>
  <c r="AA222" i="55" s="1"/>
  <c r="AB222" i="55" s="1"/>
  <c r="AC222" i="55" s="1"/>
  <c r="AD222" i="55" s="1"/>
  <c r="AE222" i="55" s="1"/>
  <c r="AF222" i="55" s="1"/>
  <c r="AG222" i="55" s="1"/>
  <c r="AH222" i="55" s="1"/>
  <c r="Z224" i="55"/>
  <c r="AA224" i="55" s="1"/>
  <c r="AB224" i="55" s="1"/>
  <c r="AC224" i="55" s="1"/>
  <c r="AD224" i="55" s="1"/>
  <c r="AE224" i="55" s="1"/>
  <c r="AF224" i="55" s="1"/>
  <c r="AG224" i="55" s="1"/>
  <c r="AH224" i="55" s="1"/>
  <c r="Z212" i="55"/>
  <c r="AA212" i="55" s="1"/>
  <c r="AB212" i="55" s="1"/>
  <c r="AC212" i="55" s="1"/>
  <c r="AD212" i="55" s="1"/>
  <c r="AE212" i="55" s="1"/>
  <c r="AF212" i="55" s="1"/>
  <c r="AG212" i="55" s="1"/>
  <c r="AH212" i="55" s="1"/>
  <c r="Z227" i="55"/>
  <c r="AA227" i="55" s="1"/>
  <c r="AB227" i="55" s="1"/>
  <c r="AC227" i="55" s="1"/>
  <c r="AD227" i="55" s="1"/>
  <c r="AE227" i="55" s="1"/>
  <c r="AF227" i="55" s="1"/>
  <c r="AG227" i="55" s="1"/>
  <c r="AH227" i="55" s="1"/>
  <c r="Z219" i="55"/>
  <c r="AA219" i="55" s="1"/>
  <c r="AB219" i="55" s="1"/>
  <c r="AC219" i="55" s="1"/>
  <c r="AD219" i="55" s="1"/>
  <c r="AE219" i="55" s="1"/>
  <c r="AF219" i="55" s="1"/>
  <c r="AG219" i="55" s="1"/>
  <c r="AH219" i="55" s="1"/>
  <c r="Z223" i="55"/>
  <c r="AA223" i="55" s="1"/>
  <c r="AB223" i="55" s="1"/>
  <c r="AC223" i="55" s="1"/>
  <c r="AD223" i="55" s="1"/>
  <c r="AE223" i="55" s="1"/>
  <c r="AF223" i="55" s="1"/>
  <c r="AG223" i="55" s="1"/>
  <c r="AH223" i="55" s="1"/>
  <c r="Z217" i="55"/>
  <c r="AA217" i="55" s="1"/>
  <c r="AB217" i="55" s="1"/>
  <c r="AC217" i="55" s="1"/>
  <c r="AD217" i="55" s="1"/>
  <c r="AE217" i="55" s="1"/>
  <c r="AF217" i="55" s="1"/>
  <c r="AG217" i="55" s="1"/>
  <c r="AH217" i="55" s="1"/>
  <c r="Z214" i="55"/>
  <c r="AA214" i="55" s="1"/>
  <c r="AB214" i="55" s="1"/>
  <c r="AC214" i="55" s="1"/>
  <c r="AD214" i="55" s="1"/>
  <c r="AE214" i="55" s="1"/>
  <c r="AF214" i="55" s="1"/>
  <c r="AG214" i="55" s="1"/>
  <c r="AH214" i="55" s="1"/>
  <c r="Z216" i="55"/>
  <c r="AA216" i="55" s="1"/>
  <c r="AB216" i="55" s="1"/>
  <c r="AC216" i="55" s="1"/>
  <c r="AD216" i="55" s="1"/>
  <c r="AE216" i="55" s="1"/>
  <c r="AF216" i="55" s="1"/>
  <c r="AG216" i="55" s="1"/>
  <c r="AH216" i="55" s="1"/>
  <c r="AI133" i="55"/>
  <c r="AJ44" i="55"/>
  <c r="Z133" i="55"/>
  <c r="AA44" i="55"/>
  <c r="AA133" i="55" s="1"/>
  <c r="Q15" i="47"/>
  <c r="U134" i="55"/>
  <c r="Q243" i="55"/>
  <c r="Q241" i="55"/>
  <c r="Q193" i="55"/>
  <c r="Y147" i="55"/>
  <c r="Y146" i="55"/>
  <c r="Y145" i="55"/>
  <c r="Y150" i="55"/>
  <c r="Y149" i="55"/>
  <c r="Y148" i="55"/>
  <c r="Y143" i="55"/>
  <c r="Y152" i="55"/>
  <c r="Y153" i="55"/>
  <c r="Q238" i="55"/>
  <c r="Q156" i="55"/>
  <c r="Q199" i="55"/>
  <c r="AK112" i="55"/>
  <c r="AL43" i="55"/>
  <c r="Q194" i="55"/>
  <c r="AL91" i="55"/>
  <c r="AM42" i="55"/>
  <c r="AM91" i="55" s="1"/>
  <c r="Q203" i="55"/>
  <c r="Q13" i="47"/>
  <c r="U140" i="55"/>
  <c r="Q240" i="55"/>
  <c r="Q198" i="55"/>
  <c r="AJ70" i="55"/>
  <c r="AK41" i="55"/>
  <c r="Z91" i="55"/>
  <c r="AA42" i="55"/>
  <c r="AA91" i="55" s="1"/>
  <c r="AI211" i="55"/>
  <c r="AJ51" i="55"/>
  <c r="Y106" i="55"/>
  <c r="Y111" i="55"/>
  <c r="Y94" i="55"/>
  <c r="Y103" i="55"/>
  <c r="Y93" i="55"/>
  <c r="Y105" i="55"/>
  <c r="Y98" i="55"/>
  <c r="Y101" i="55"/>
  <c r="Y109" i="55"/>
  <c r="Y110" i="55"/>
  <c r="Y97" i="55"/>
  <c r="Y95" i="55"/>
  <c r="Y102" i="55"/>
  <c r="Y99" i="55"/>
  <c r="Y108" i="55"/>
  <c r="Y107" i="55"/>
  <c r="Y104" i="55"/>
  <c r="Y96" i="55"/>
  <c r="Y92" i="55"/>
  <c r="Y100" i="55"/>
  <c r="Y112" i="55"/>
  <c r="Z43" i="55"/>
  <c r="Z173" i="55"/>
  <c r="AA46" i="55"/>
  <c r="AA173" i="55" s="1"/>
  <c r="R12" i="47"/>
  <c r="V142" i="55"/>
  <c r="AJ154" i="55"/>
  <c r="AK45" i="55"/>
  <c r="Q234" i="55"/>
  <c r="X119" i="55"/>
  <c r="X130" i="55"/>
  <c r="X124" i="55"/>
  <c r="X113" i="55"/>
  <c r="X131" i="55"/>
  <c r="X121" i="55"/>
  <c r="X129" i="55"/>
  <c r="X128" i="55"/>
  <c r="X118" i="55"/>
  <c r="X114" i="55"/>
  <c r="X122" i="55"/>
  <c r="X123" i="55"/>
  <c r="X125" i="55"/>
  <c r="X120" i="55"/>
  <c r="X132" i="55"/>
  <c r="X116" i="55"/>
  <c r="X126" i="55"/>
  <c r="X115" i="55"/>
  <c r="X117" i="55"/>
  <c r="X127" i="55"/>
  <c r="Q201" i="55"/>
  <c r="Q196" i="55"/>
  <c r="Z207" i="55"/>
  <c r="AA207" i="55" s="1"/>
  <c r="AB207" i="55" s="1"/>
  <c r="AC207" i="55" s="1"/>
  <c r="AD207" i="55" s="1"/>
  <c r="AE207" i="55" s="1"/>
  <c r="AF207" i="55" s="1"/>
  <c r="AG207" i="55" s="1"/>
  <c r="AH207" i="55" s="1"/>
  <c r="Z206" i="55"/>
  <c r="AA206" i="55" s="1"/>
  <c r="AB206" i="55" s="1"/>
  <c r="AC206" i="55" s="1"/>
  <c r="AD206" i="55" s="1"/>
  <c r="AE206" i="55" s="1"/>
  <c r="AF206" i="55" s="1"/>
  <c r="AG206" i="55" s="1"/>
  <c r="AH206" i="55" s="1"/>
  <c r="Z202" i="55"/>
  <c r="AA202" i="55" s="1"/>
  <c r="AB202" i="55" s="1"/>
  <c r="AC202" i="55" s="1"/>
  <c r="AD202" i="55" s="1"/>
  <c r="AE202" i="55" s="1"/>
  <c r="AF202" i="55" s="1"/>
  <c r="AG202" i="55" s="1"/>
  <c r="AH202" i="55" s="1"/>
  <c r="Z205" i="55"/>
  <c r="AA205" i="55" s="1"/>
  <c r="AB205" i="55" s="1"/>
  <c r="AC205" i="55" s="1"/>
  <c r="AD205" i="55" s="1"/>
  <c r="AE205" i="55" s="1"/>
  <c r="AF205" i="55" s="1"/>
  <c r="AG205" i="55" s="1"/>
  <c r="AH205" i="55" s="1"/>
  <c r="Z204" i="55"/>
  <c r="AA204" i="55" s="1"/>
  <c r="AB204" i="55" s="1"/>
  <c r="AC204" i="55" s="1"/>
  <c r="AD204" i="55" s="1"/>
  <c r="AE204" i="55" s="1"/>
  <c r="AF204" i="55" s="1"/>
  <c r="AG204" i="55" s="1"/>
  <c r="AH204" i="55" s="1"/>
  <c r="Z208" i="55"/>
  <c r="AA208" i="55" s="1"/>
  <c r="AB208" i="55" s="1"/>
  <c r="AC208" i="55" s="1"/>
  <c r="AD208" i="55" s="1"/>
  <c r="AE208" i="55" s="1"/>
  <c r="AF208" i="55" s="1"/>
  <c r="AG208" i="55" s="1"/>
  <c r="AH208" i="55" s="1"/>
  <c r="Y187" i="55"/>
  <c r="Y182" i="55"/>
  <c r="Y176" i="55"/>
  <c r="Y174" i="55"/>
  <c r="Y185" i="55"/>
  <c r="Y179" i="55"/>
  <c r="Y189" i="55"/>
  <c r="Y181" i="55"/>
  <c r="Y184" i="55"/>
  <c r="Y178" i="55"/>
  <c r="Y175" i="55"/>
  <c r="Y177" i="55"/>
  <c r="Y183" i="55"/>
  <c r="Y186" i="55"/>
  <c r="Y188" i="55"/>
  <c r="Y180" i="55"/>
  <c r="U139" i="55" l="1"/>
  <c r="R18" i="47" s="1"/>
  <c r="U144" i="55"/>
  <c r="R19" i="47" s="1"/>
  <c r="U138" i="55"/>
  <c r="V138" i="55" s="1"/>
  <c r="O38" i="47"/>
  <c r="U141" i="55"/>
  <c r="V141" i="55" s="1"/>
  <c r="S17" i="47" s="1"/>
  <c r="U151" i="55"/>
  <c r="R20" i="47" s="1"/>
  <c r="S75" i="55"/>
  <c r="P35" i="47" s="1"/>
  <c r="S71" i="55"/>
  <c r="P36" i="47" s="1"/>
  <c r="O33" i="47"/>
  <c r="S77" i="55"/>
  <c r="P34" i="47" s="1"/>
  <c r="T73" i="55"/>
  <c r="Q37" i="47" s="1"/>
  <c r="O37" i="47"/>
  <c r="U136" i="55"/>
  <c r="R236" i="55"/>
  <c r="O53" i="47" s="1"/>
  <c r="Q11" i="47"/>
  <c r="U137" i="55"/>
  <c r="O41" i="47"/>
  <c r="S88" i="55"/>
  <c r="P40" i="47" s="1"/>
  <c r="R157" i="55"/>
  <c r="O48" i="47" s="1"/>
  <c r="O32" i="47"/>
  <c r="S74" i="55"/>
  <c r="R197" i="55"/>
  <c r="S197" i="55" s="1"/>
  <c r="R155" i="55"/>
  <c r="R200" i="55"/>
  <c r="S200" i="55" s="1"/>
  <c r="R235" i="55"/>
  <c r="O58" i="47" s="1"/>
  <c r="R165" i="55"/>
  <c r="S165" i="55" s="1"/>
  <c r="R161" i="55"/>
  <c r="O45" i="47" s="1"/>
  <c r="R159" i="55"/>
  <c r="O46" i="47" s="1"/>
  <c r="R162" i="55"/>
  <c r="O49" i="47" s="1"/>
  <c r="R163" i="55"/>
  <c r="O44" i="47" s="1"/>
  <c r="R239" i="55"/>
  <c r="S239" i="55" s="1"/>
  <c r="R253" i="55"/>
  <c r="S253" i="55" s="1"/>
  <c r="N43" i="47"/>
  <c r="R158" i="55"/>
  <c r="U135" i="55"/>
  <c r="Q10" i="47"/>
  <c r="R233" i="55"/>
  <c r="O57" i="47" s="1"/>
  <c r="N50" i="47"/>
  <c r="R160" i="55"/>
  <c r="Z70" i="55"/>
  <c r="AA41" i="55"/>
  <c r="AA70" i="55" s="1"/>
  <c r="Y127" i="55"/>
  <c r="Y121" i="55"/>
  <c r="Y114" i="55"/>
  <c r="Y125" i="55"/>
  <c r="Y128" i="55"/>
  <c r="Y132" i="55"/>
  <c r="Y116" i="55"/>
  <c r="Y122" i="55"/>
  <c r="Y129" i="55"/>
  <c r="Y117" i="55"/>
  <c r="Y126" i="55"/>
  <c r="Y119" i="55"/>
  <c r="Y124" i="55"/>
  <c r="Y131" i="55"/>
  <c r="Y118" i="55"/>
  <c r="Y123" i="55"/>
  <c r="Y120" i="55"/>
  <c r="Y115" i="55"/>
  <c r="Y113" i="55"/>
  <c r="Y130" i="55"/>
  <c r="N24" i="47"/>
  <c r="R199" i="55"/>
  <c r="N26" i="47"/>
  <c r="R193" i="55"/>
  <c r="O39" i="47"/>
  <c r="S76" i="55"/>
  <c r="Y86" i="55"/>
  <c r="Y85" i="55"/>
  <c r="Y84" i="55"/>
  <c r="Y80" i="55"/>
  <c r="Y83" i="55"/>
  <c r="Y82" i="55"/>
  <c r="Y87" i="55"/>
  <c r="Y90" i="55"/>
  <c r="Y89" i="55"/>
  <c r="N52" i="47"/>
  <c r="R234" i="55"/>
  <c r="S12" i="47"/>
  <c r="W142" i="55"/>
  <c r="N29" i="47"/>
  <c r="R198" i="55"/>
  <c r="R13" i="47"/>
  <c r="V140" i="55"/>
  <c r="N42" i="47"/>
  <c r="R156" i="55"/>
  <c r="N60" i="47"/>
  <c r="R238" i="55"/>
  <c r="AJ133" i="55"/>
  <c r="AK44" i="55"/>
  <c r="P38" i="47"/>
  <c r="T78" i="55"/>
  <c r="O31" i="47"/>
  <c r="S72" i="55"/>
  <c r="Z153" i="55"/>
  <c r="AA153" i="55" s="1"/>
  <c r="AB153" i="55" s="1"/>
  <c r="AC153" i="55" s="1"/>
  <c r="AD153" i="55" s="1"/>
  <c r="AE153" i="55" s="1"/>
  <c r="AF153" i="55" s="1"/>
  <c r="AG153" i="55" s="1"/>
  <c r="AH153" i="55" s="1"/>
  <c r="AI153" i="55" s="1"/>
  <c r="Z150" i="55"/>
  <c r="AA150" i="55" s="1"/>
  <c r="AB150" i="55" s="1"/>
  <c r="AC150" i="55" s="1"/>
  <c r="AD150" i="55" s="1"/>
  <c r="AE150" i="55" s="1"/>
  <c r="AF150" i="55" s="1"/>
  <c r="AG150" i="55" s="1"/>
  <c r="AH150" i="55" s="1"/>
  <c r="AI150" i="55" s="1"/>
  <c r="Z143" i="55"/>
  <c r="AA143" i="55" s="1"/>
  <c r="AB143" i="55" s="1"/>
  <c r="AC143" i="55" s="1"/>
  <c r="AD143" i="55" s="1"/>
  <c r="AE143" i="55" s="1"/>
  <c r="AF143" i="55" s="1"/>
  <c r="AG143" i="55" s="1"/>
  <c r="AH143" i="55" s="1"/>
  <c r="AI143" i="55" s="1"/>
  <c r="Z145" i="55"/>
  <c r="AA145" i="55" s="1"/>
  <c r="AB145" i="55" s="1"/>
  <c r="AC145" i="55" s="1"/>
  <c r="AD145" i="55" s="1"/>
  <c r="AE145" i="55" s="1"/>
  <c r="AF145" i="55" s="1"/>
  <c r="AG145" i="55" s="1"/>
  <c r="AH145" i="55" s="1"/>
  <c r="AI145" i="55" s="1"/>
  <c r="Z148" i="55"/>
  <c r="AA148" i="55" s="1"/>
  <c r="AB148" i="55" s="1"/>
  <c r="AC148" i="55" s="1"/>
  <c r="AD148" i="55" s="1"/>
  <c r="AE148" i="55" s="1"/>
  <c r="AF148" i="55" s="1"/>
  <c r="AG148" i="55" s="1"/>
  <c r="AH148" i="55" s="1"/>
  <c r="AI148" i="55" s="1"/>
  <c r="Z149" i="55"/>
  <c r="AA149" i="55" s="1"/>
  <c r="AB149" i="55" s="1"/>
  <c r="AC149" i="55" s="1"/>
  <c r="AD149" i="55" s="1"/>
  <c r="AE149" i="55" s="1"/>
  <c r="AF149" i="55" s="1"/>
  <c r="AG149" i="55" s="1"/>
  <c r="AH149" i="55" s="1"/>
  <c r="AI149" i="55" s="1"/>
  <c r="Z146" i="55"/>
  <c r="AA146" i="55" s="1"/>
  <c r="AB146" i="55" s="1"/>
  <c r="AC146" i="55" s="1"/>
  <c r="AD146" i="55" s="1"/>
  <c r="AE146" i="55" s="1"/>
  <c r="AF146" i="55" s="1"/>
  <c r="AG146" i="55" s="1"/>
  <c r="AH146" i="55" s="1"/>
  <c r="AI146" i="55" s="1"/>
  <c r="Z147" i="55"/>
  <c r="AA147" i="55" s="1"/>
  <c r="AB147" i="55" s="1"/>
  <c r="AC147" i="55" s="1"/>
  <c r="AD147" i="55" s="1"/>
  <c r="AE147" i="55" s="1"/>
  <c r="AF147" i="55" s="1"/>
  <c r="AG147" i="55" s="1"/>
  <c r="AH147" i="55" s="1"/>
  <c r="AI147" i="55" s="1"/>
  <c r="Z152" i="55"/>
  <c r="AA152" i="55" s="1"/>
  <c r="AB152" i="55" s="1"/>
  <c r="AC152" i="55" s="1"/>
  <c r="AD152" i="55" s="1"/>
  <c r="AE152" i="55" s="1"/>
  <c r="AF152" i="55" s="1"/>
  <c r="AG152" i="55" s="1"/>
  <c r="AH152" i="55" s="1"/>
  <c r="AI152" i="55" s="1"/>
  <c r="N56" i="47"/>
  <c r="R237" i="55"/>
  <c r="N59" i="47"/>
  <c r="R240" i="55"/>
  <c r="N21" i="47"/>
  <c r="R194" i="55"/>
  <c r="N54" i="47"/>
  <c r="R241" i="55"/>
  <c r="AK173" i="55"/>
  <c r="AL46" i="55"/>
  <c r="AK70" i="55"/>
  <c r="AL41" i="55"/>
  <c r="N22" i="47"/>
  <c r="R196" i="55"/>
  <c r="N23" i="47"/>
  <c r="R201" i="55"/>
  <c r="N61" i="47"/>
  <c r="R243" i="55"/>
  <c r="P33" i="47"/>
  <c r="T79" i="55"/>
  <c r="Z182" i="55"/>
  <c r="AA182" i="55" s="1"/>
  <c r="AB182" i="55" s="1"/>
  <c r="AC182" i="55" s="1"/>
  <c r="AD182" i="55" s="1"/>
  <c r="AE182" i="55" s="1"/>
  <c r="AF182" i="55" s="1"/>
  <c r="AG182" i="55" s="1"/>
  <c r="AH182" i="55" s="1"/>
  <c r="AI182" i="55" s="1"/>
  <c r="AJ182" i="55" s="1"/>
  <c r="Z178" i="55"/>
  <c r="AA178" i="55" s="1"/>
  <c r="AB178" i="55" s="1"/>
  <c r="AC178" i="55" s="1"/>
  <c r="AD178" i="55" s="1"/>
  <c r="AE178" i="55" s="1"/>
  <c r="AF178" i="55" s="1"/>
  <c r="AG178" i="55" s="1"/>
  <c r="AH178" i="55" s="1"/>
  <c r="AI178" i="55" s="1"/>
  <c r="AJ178" i="55" s="1"/>
  <c r="Z189" i="55"/>
  <c r="AA189" i="55" s="1"/>
  <c r="AB189" i="55" s="1"/>
  <c r="AC189" i="55" s="1"/>
  <c r="AD189" i="55" s="1"/>
  <c r="AE189" i="55" s="1"/>
  <c r="AF189" i="55" s="1"/>
  <c r="AG189" i="55" s="1"/>
  <c r="AH189" i="55" s="1"/>
  <c r="AI189" i="55" s="1"/>
  <c r="AJ189" i="55" s="1"/>
  <c r="Z180" i="55"/>
  <c r="AA180" i="55" s="1"/>
  <c r="AB180" i="55" s="1"/>
  <c r="AC180" i="55" s="1"/>
  <c r="AD180" i="55" s="1"/>
  <c r="AE180" i="55" s="1"/>
  <c r="AF180" i="55" s="1"/>
  <c r="AG180" i="55" s="1"/>
  <c r="AH180" i="55" s="1"/>
  <c r="AI180" i="55" s="1"/>
  <c r="AJ180" i="55" s="1"/>
  <c r="Z187" i="55"/>
  <c r="AA187" i="55" s="1"/>
  <c r="AB187" i="55" s="1"/>
  <c r="AC187" i="55" s="1"/>
  <c r="AD187" i="55" s="1"/>
  <c r="AE187" i="55" s="1"/>
  <c r="AF187" i="55" s="1"/>
  <c r="AG187" i="55" s="1"/>
  <c r="AH187" i="55" s="1"/>
  <c r="AI187" i="55" s="1"/>
  <c r="AJ187" i="55" s="1"/>
  <c r="Z185" i="55"/>
  <c r="AA185" i="55" s="1"/>
  <c r="AB185" i="55" s="1"/>
  <c r="AC185" i="55" s="1"/>
  <c r="AD185" i="55" s="1"/>
  <c r="AE185" i="55" s="1"/>
  <c r="AF185" i="55" s="1"/>
  <c r="AG185" i="55" s="1"/>
  <c r="AH185" i="55" s="1"/>
  <c r="AI185" i="55" s="1"/>
  <c r="AJ185" i="55" s="1"/>
  <c r="Z181" i="55"/>
  <c r="AA181" i="55" s="1"/>
  <c r="AB181" i="55" s="1"/>
  <c r="AC181" i="55" s="1"/>
  <c r="AD181" i="55" s="1"/>
  <c r="AE181" i="55" s="1"/>
  <c r="AF181" i="55" s="1"/>
  <c r="AG181" i="55" s="1"/>
  <c r="AH181" i="55" s="1"/>
  <c r="AI181" i="55" s="1"/>
  <c r="AJ181" i="55" s="1"/>
  <c r="Z179" i="55"/>
  <c r="AA179" i="55" s="1"/>
  <c r="AB179" i="55" s="1"/>
  <c r="AC179" i="55" s="1"/>
  <c r="AD179" i="55" s="1"/>
  <c r="AE179" i="55" s="1"/>
  <c r="AF179" i="55" s="1"/>
  <c r="AG179" i="55" s="1"/>
  <c r="AH179" i="55" s="1"/>
  <c r="AI179" i="55" s="1"/>
  <c r="AJ179" i="55" s="1"/>
  <c r="Z174" i="55"/>
  <c r="AA174" i="55" s="1"/>
  <c r="AB174" i="55" s="1"/>
  <c r="AC174" i="55" s="1"/>
  <c r="AD174" i="55" s="1"/>
  <c r="AE174" i="55" s="1"/>
  <c r="AF174" i="55" s="1"/>
  <c r="AG174" i="55" s="1"/>
  <c r="AH174" i="55" s="1"/>
  <c r="AI174" i="55" s="1"/>
  <c r="AJ174" i="55" s="1"/>
  <c r="Z175" i="55"/>
  <c r="AA175" i="55" s="1"/>
  <c r="AB175" i="55" s="1"/>
  <c r="AC175" i="55" s="1"/>
  <c r="AD175" i="55" s="1"/>
  <c r="AE175" i="55" s="1"/>
  <c r="AF175" i="55" s="1"/>
  <c r="AG175" i="55" s="1"/>
  <c r="AH175" i="55" s="1"/>
  <c r="AI175" i="55" s="1"/>
  <c r="AJ175" i="55" s="1"/>
  <c r="Z183" i="55"/>
  <c r="AA183" i="55" s="1"/>
  <c r="AB183" i="55" s="1"/>
  <c r="AC183" i="55" s="1"/>
  <c r="AD183" i="55" s="1"/>
  <c r="AE183" i="55" s="1"/>
  <c r="AF183" i="55" s="1"/>
  <c r="AG183" i="55" s="1"/>
  <c r="AH183" i="55" s="1"/>
  <c r="AI183" i="55" s="1"/>
  <c r="AJ183" i="55" s="1"/>
  <c r="Z186" i="55"/>
  <c r="AA186" i="55" s="1"/>
  <c r="AB186" i="55" s="1"/>
  <c r="AC186" i="55" s="1"/>
  <c r="AD186" i="55" s="1"/>
  <c r="AE186" i="55" s="1"/>
  <c r="AF186" i="55" s="1"/>
  <c r="AG186" i="55" s="1"/>
  <c r="AH186" i="55" s="1"/>
  <c r="AI186" i="55" s="1"/>
  <c r="AJ186" i="55" s="1"/>
  <c r="Z176" i="55"/>
  <c r="AA176" i="55" s="1"/>
  <c r="AB176" i="55" s="1"/>
  <c r="AC176" i="55" s="1"/>
  <c r="AD176" i="55" s="1"/>
  <c r="AE176" i="55" s="1"/>
  <c r="AF176" i="55" s="1"/>
  <c r="AG176" i="55" s="1"/>
  <c r="AH176" i="55" s="1"/>
  <c r="AI176" i="55" s="1"/>
  <c r="AJ176" i="55" s="1"/>
  <c r="Z177" i="55"/>
  <c r="AA177" i="55" s="1"/>
  <c r="AB177" i="55" s="1"/>
  <c r="AC177" i="55" s="1"/>
  <c r="AD177" i="55" s="1"/>
  <c r="AE177" i="55" s="1"/>
  <c r="AF177" i="55" s="1"/>
  <c r="AG177" i="55" s="1"/>
  <c r="AH177" i="55" s="1"/>
  <c r="AI177" i="55" s="1"/>
  <c r="AJ177" i="55" s="1"/>
  <c r="Z188" i="55"/>
  <c r="AA188" i="55" s="1"/>
  <c r="AB188" i="55" s="1"/>
  <c r="AC188" i="55" s="1"/>
  <c r="AD188" i="55" s="1"/>
  <c r="AE188" i="55" s="1"/>
  <c r="AF188" i="55" s="1"/>
  <c r="AG188" i="55" s="1"/>
  <c r="AH188" i="55" s="1"/>
  <c r="AI188" i="55" s="1"/>
  <c r="AJ188" i="55" s="1"/>
  <c r="Z184" i="55"/>
  <c r="AA184" i="55" s="1"/>
  <c r="AB184" i="55" s="1"/>
  <c r="AC184" i="55" s="1"/>
  <c r="AD184" i="55" s="1"/>
  <c r="AE184" i="55" s="1"/>
  <c r="AF184" i="55" s="1"/>
  <c r="AG184" i="55" s="1"/>
  <c r="AH184" i="55" s="1"/>
  <c r="AI184" i="55" s="1"/>
  <c r="AJ184" i="55" s="1"/>
  <c r="R15" i="47"/>
  <c r="V134" i="55"/>
  <c r="Z154" i="55"/>
  <c r="AA45" i="55"/>
  <c r="AA154" i="55" s="1"/>
  <c r="AJ211" i="55"/>
  <c r="AK51" i="55"/>
  <c r="N30" i="47"/>
  <c r="R203" i="55"/>
  <c r="Y169" i="55"/>
  <c r="Y168" i="55"/>
  <c r="Y170" i="55"/>
  <c r="Y164" i="55"/>
  <c r="Y171" i="55"/>
  <c r="Y172" i="55"/>
  <c r="Y166" i="55"/>
  <c r="Y167" i="55"/>
  <c r="AJ230" i="55"/>
  <c r="AK53" i="55"/>
  <c r="Z112" i="55"/>
  <c r="AA43" i="55"/>
  <c r="AA112" i="55" s="1"/>
  <c r="AI223" i="55"/>
  <c r="AI215" i="55"/>
  <c r="AI220" i="55"/>
  <c r="AI228" i="55"/>
  <c r="AI212" i="55"/>
  <c r="AI216" i="55"/>
  <c r="AI217" i="55"/>
  <c r="AI226" i="55"/>
  <c r="AI229" i="55"/>
  <c r="AI227" i="55"/>
  <c r="AI221" i="55"/>
  <c r="AI218" i="55"/>
  <c r="AI213" i="55"/>
  <c r="AI222" i="55"/>
  <c r="AI214" i="55"/>
  <c r="AI224" i="55"/>
  <c r="AI225" i="55"/>
  <c r="AI219" i="55"/>
  <c r="P41" i="47"/>
  <c r="T81" i="55"/>
  <c r="AI231" i="55"/>
  <c r="AI246" i="55"/>
  <c r="AI251" i="55"/>
  <c r="AI248" i="55"/>
  <c r="AI252" i="55"/>
  <c r="AI245" i="55"/>
  <c r="AI232" i="55"/>
  <c r="AI247" i="55"/>
  <c r="AI244" i="55"/>
  <c r="AI249" i="55"/>
  <c r="AI242" i="55"/>
  <c r="AI250" i="55"/>
  <c r="AJ192" i="55"/>
  <c r="AK50" i="55"/>
  <c r="AK154" i="55"/>
  <c r="AL45" i="55"/>
  <c r="Z104" i="55"/>
  <c r="AA104" i="55" s="1"/>
  <c r="AB104" i="55" s="1"/>
  <c r="AC104" i="55" s="1"/>
  <c r="AD104" i="55" s="1"/>
  <c r="AE104" i="55" s="1"/>
  <c r="AF104" i="55" s="1"/>
  <c r="AG104" i="55" s="1"/>
  <c r="AH104" i="55" s="1"/>
  <c r="AI104" i="55" s="1"/>
  <c r="AJ104" i="55" s="1"/>
  <c r="AK104" i="55" s="1"/>
  <c r="AL104" i="55" s="1"/>
  <c r="AM104" i="55" s="1"/>
  <c r="AN104" i="55" s="1"/>
  <c r="AO104" i="55" s="1"/>
  <c r="AP104" i="55" s="1"/>
  <c r="Z111" i="55"/>
  <c r="AA111" i="55" s="1"/>
  <c r="AB111" i="55" s="1"/>
  <c r="AC111" i="55" s="1"/>
  <c r="AD111" i="55" s="1"/>
  <c r="AE111" i="55" s="1"/>
  <c r="AF111" i="55" s="1"/>
  <c r="AG111" i="55" s="1"/>
  <c r="AH111" i="55" s="1"/>
  <c r="AI111" i="55" s="1"/>
  <c r="AJ111" i="55" s="1"/>
  <c r="AK111" i="55" s="1"/>
  <c r="AL111" i="55" s="1"/>
  <c r="AM111" i="55" s="1"/>
  <c r="AN111" i="55" s="1"/>
  <c r="AO111" i="55" s="1"/>
  <c r="AP111" i="55" s="1"/>
  <c r="Z106" i="55"/>
  <c r="AA106" i="55" s="1"/>
  <c r="AB106" i="55" s="1"/>
  <c r="AC106" i="55" s="1"/>
  <c r="AD106" i="55" s="1"/>
  <c r="AE106" i="55" s="1"/>
  <c r="AF106" i="55" s="1"/>
  <c r="AG106" i="55" s="1"/>
  <c r="AH106" i="55" s="1"/>
  <c r="AI106" i="55" s="1"/>
  <c r="AJ106" i="55" s="1"/>
  <c r="AK106" i="55" s="1"/>
  <c r="AL106" i="55" s="1"/>
  <c r="AM106" i="55" s="1"/>
  <c r="AN106" i="55" s="1"/>
  <c r="AO106" i="55" s="1"/>
  <c r="AP106" i="55" s="1"/>
  <c r="Z98" i="55"/>
  <c r="AA98" i="55" s="1"/>
  <c r="AB98" i="55" s="1"/>
  <c r="AC98" i="55" s="1"/>
  <c r="AD98" i="55" s="1"/>
  <c r="AE98" i="55" s="1"/>
  <c r="AF98" i="55" s="1"/>
  <c r="AG98" i="55" s="1"/>
  <c r="AH98" i="55" s="1"/>
  <c r="AI98" i="55" s="1"/>
  <c r="AJ98" i="55" s="1"/>
  <c r="AK98" i="55" s="1"/>
  <c r="AL98" i="55" s="1"/>
  <c r="AM98" i="55" s="1"/>
  <c r="AN98" i="55" s="1"/>
  <c r="AO98" i="55" s="1"/>
  <c r="AP98" i="55" s="1"/>
  <c r="Z108" i="55"/>
  <c r="AA108" i="55" s="1"/>
  <c r="AB108" i="55" s="1"/>
  <c r="AC108" i="55" s="1"/>
  <c r="AD108" i="55" s="1"/>
  <c r="AE108" i="55" s="1"/>
  <c r="AF108" i="55" s="1"/>
  <c r="AG108" i="55" s="1"/>
  <c r="AH108" i="55" s="1"/>
  <c r="AI108" i="55" s="1"/>
  <c r="AJ108" i="55" s="1"/>
  <c r="AK108" i="55" s="1"/>
  <c r="AL108" i="55" s="1"/>
  <c r="AM108" i="55" s="1"/>
  <c r="AN108" i="55" s="1"/>
  <c r="AO108" i="55" s="1"/>
  <c r="AP108" i="55" s="1"/>
  <c r="Z93" i="55"/>
  <c r="AA93" i="55" s="1"/>
  <c r="AB93" i="55" s="1"/>
  <c r="AC93" i="55" s="1"/>
  <c r="AD93" i="55" s="1"/>
  <c r="AE93" i="55" s="1"/>
  <c r="AF93" i="55" s="1"/>
  <c r="AG93" i="55" s="1"/>
  <c r="AH93" i="55" s="1"/>
  <c r="AI93" i="55" s="1"/>
  <c r="AJ93" i="55" s="1"/>
  <c r="AK93" i="55" s="1"/>
  <c r="AL93" i="55" s="1"/>
  <c r="AM93" i="55" s="1"/>
  <c r="AN93" i="55" s="1"/>
  <c r="AO93" i="55" s="1"/>
  <c r="AP93" i="55" s="1"/>
  <c r="Z109" i="55"/>
  <c r="AA109" i="55" s="1"/>
  <c r="AB109" i="55" s="1"/>
  <c r="AC109" i="55" s="1"/>
  <c r="AD109" i="55" s="1"/>
  <c r="AE109" i="55" s="1"/>
  <c r="AF109" i="55" s="1"/>
  <c r="AG109" i="55" s="1"/>
  <c r="AH109" i="55" s="1"/>
  <c r="AI109" i="55" s="1"/>
  <c r="AJ109" i="55" s="1"/>
  <c r="AK109" i="55" s="1"/>
  <c r="AL109" i="55" s="1"/>
  <c r="AM109" i="55" s="1"/>
  <c r="AN109" i="55" s="1"/>
  <c r="AO109" i="55" s="1"/>
  <c r="AP109" i="55" s="1"/>
  <c r="Z101" i="55"/>
  <c r="AA101" i="55" s="1"/>
  <c r="AB101" i="55" s="1"/>
  <c r="AC101" i="55" s="1"/>
  <c r="AD101" i="55" s="1"/>
  <c r="AE101" i="55" s="1"/>
  <c r="AF101" i="55" s="1"/>
  <c r="AG101" i="55" s="1"/>
  <c r="AH101" i="55" s="1"/>
  <c r="AI101" i="55" s="1"/>
  <c r="AJ101" i="55" s="1"/>
  <c r="AK101" i="55" s="1"/>
  <c r="AL101" i="55" s="1"/>
  <c r="AM101" i="55" s="1"/>
  <c r="AN101" i="55" s="1"/>
  <c r="AO101" i="55" s="1"/>
  <c r="AP101" i="55" s="1"/>
  <c r="Z110" i="55"/>
  <c r="AA110" i="55" s="1"/>
  <c r="AB110" i="55" s="1"/>
  <c r="AC110" i="55" s="1"/>
  <c r="AD110" i="55" s="1"/>
  <c r="AE110" i="55" s="1"/>
  <c r="AF110" i="55" s="1"/>
  <c r="AG110" i="55" s="1"/>
  <c r="AH110" i="55" s="1"/>
  <c r="AI110" i="55" s="1"/>
  <c r="AJ110" i="55" s="1"/>
  <c r="AK110" i="55" s="1"/>
  <c r="AL110" i="55" s="1"/>
  <c r="AM110" i="55" s="1"/>
  <c r="AN110" i="55" s="1"/>
  <c r="AO110" i="55" s="1"/>
  <c r="AP110" i="55" s="1"/>
  <c r="Z103" i="55"/>
  <c r="AA103" i="55" s="1"/>
  <c r="AB103" i="55" s="1"/>
  <c r="AC103" i="55" s="1"/>
  <c r="AD103" i="55" s="1"/>
  <c r="AE103" i="55" s="1"/>
  <c r="AF103" i="55" s="1"/>
  <c r="AG103" i="55" s="1"/>
  <c r="AH103" i="55" s="1"/>
  <c r="AI103" i="55" s="1"/>
  <c r="AJ103" i="55" s="1"/>
  <c r="AK103" i="55" s="1"/>
  <c r="AL103" i="55" s="1"/>
  <c r="AM103" i="55" s="1"/>
  <c r="AN103" i="55" s="1"/>
  <c r="AO103" i="55" s="1"/>
  <c r="AP103" i="55" s="1"/>
  <c r="Z94" i="55"/>
  <c r="AA94" i="55" s="1"/>
  <c r="AB94" i="55" s="1"/>
  <c r="AC94" i="55" s="1"/>
  <c r="AD94" i="55" s="1"/>
  <c r="AE94" i="55" s="1"/>
  <c r="AF94" i="55" s="1"/>
  <c r="AG94" i="55" s="1"/>
  <c r="AH94" i="55" s="1"/>
  <c r="AI94" i="55" s="1"/>
  <c r="AJ94" i="55" s="1"/>
  <c r="AK94" i="55" s="1"/>
  <c r="AL94" i="55" s="1"/>
  <c r="AM94" i="55" s="1"/>
  <c r="AN94" i="55" s="1"/>
  <c r="AO94" i="55" s="1"/>
  <c r="AP94" i="55" s="1"/>
  <c r="Z102" i="55"/>
  <c r="AA102" i="55" s="1"/>
  <c r="AB102" i="55" s="1"/>
  <c r="AC102" i="55" s="1"/>
  <c r="AD102" i="55" s="1"/>
  <c r="AE102" i="55" s="1"/>
  <c r="AF102" i="55" s="1"/>
  <c r="AG102" i="55" s="1"/>
  <c r="AH102" i="55" s="1"/>
  <c r="AI102" i="55" s="1"/>
  <c r="AJ102" i="55" s="1"/>
  <c r="AK102" i="55" s="1"/>
  <c r="AL102" i="55" s="1"/>
  <c r="AM102" i="55" s="1"/>
  <c r="AN102" i="55" s="1"/>
  <c r="AO102" i="55" s="1"/>
  <c r="AP102" i="55" s="1"/>
  <c r="Z99" i="55"/>
  <c r="AA99" i="55" s="1"/>
  <c r="AB99" i="55" s="1"/>
  <c r="AC99" i="55" s="1"/>
  <c r="AD99" i="55" s="1"/>
  <c r="AE99" i="55" s="1"/>
  <c r="AF99" i="55" s="1"/>
  <c r="AG99" i="55" s="1"/>
  <c r="AH99" i="55" s="1"/>
  <c r="AI99" i="55" s="1"/>
  <c r="AJ99" i="55" s="1"/>
  <c r="AK99" i="55" s="1"/>
  <c r="AL99" i="55" s="1"/>
  <c r="AM99" i="55" s="1"/>
  <c r="AN99" i="55" s="1"/>
  <c r="AO99" i="55" s="1"/>
  <c r="AP99" i="55" s="1"/>
  <c r="Z105" i="55"/>
  <c r="AA105" i="55" s="1"/>
  <c r="AB105" i="55" s="1"/>
  <c r="AC105" i="55" s="1"/>
  <c r="AD105" i="55" s="1"/>
  <c r="AE105" i="55" s="1"/>
  <c r="AF105" i="55" s="1"/>
  <c r="AG105" i="55" s="1"/>
  <c r="AH105" i="55" s="1"/>
  <c r="AI105" i="55" s="1"/>
  <c r="AJ105" i="55" s="1"/>
  <c r="AK105" i="55" s="1"/>
  <c r="AL105" i="55" s="1"/>
  <c r="AM105" i="55" s="1"/>
  <c r="AN105" i="55" s="1"/>
  <c r="AO105" i="55" s="1"/>
  <c r="AP105" i="55" s="1"/>
  <c r="Z96" i="55"/>
  <c r="AA96" i="55" s="1"/>
  <c r="AB96" i="55" s="1"/>
  <c r="AC96" i="55" s="1"/>
  <c r="AD96" i="55" s="1"/>
  <c r="AE96" i="55" s="1"/>
  <c r="AF96" i="55" s="1"/>
  <c r="AG96" i="55" s="1"/>
  <c r="AH96" i="55" s="1"/>
  <c r="AI96" i="55" s="1"/>
  <c r="AJ96" i="55" s="1"/>
  <c r="AK96" i="55" s="1"/>
  <c r="AL96" i="55" s="1"/>
  <c r="AM96" i="55" s="1"/>
  <c r="AN96" i="55" s="1"/>
  <c r="AO96" i="55" s="1"/>
  <c r="AP96" i="55" s="1"/>
  <c r="Z95" i="55"/>
  <c r="AA95" i="55" s="1"/>
  <c r="AB95" i="55" s="1"/>
  <c r="AC95" i="55" s="1"/>
  <c r="AD95" i="55" s="1"/>
  <c r="AE95" i="55" s="1"/>
  <c r="AF95" i="55" s="1"/>
  <c r="AG95" i="55" s="1"/>
  <c r="AH95" i="55" s="1"/>
  <c r="AI95" i="55" s="1"/>
  <c r="AJ95" i="55" s="1"/>
  <c r="AK95" i="55" s="1"/>
  <c r="AL95" i="55" s="1"/>
  <c r="AM95" i="55" s="1"/>
  <c r="AN95" i="55" s="1"/>
  <c r="AO95" i="55" s="1"/>
  <c r="AP95" i="55" s="1"/>
  <c r="Z92" i="55"/>
  <c r="AA92" i="55" s="1"/>
  <c r="AB92" i="55" s="1"/>
  <c r="AC92" i="55" s="1"/>
  <c r="AD92" i="55" s="1"/>
  <c r="AE92" i="55" s="1"/>
  <c r="AF92" i="55" s="1"/>
  <c r="AG92" i="55" s="1"/>
  <c r="AH92" i="55" s="1"/>
  <c r="AI92" i="55" s="1"/>
  <c r="AJ92" i="55" s="1"/>
  <c r="AK92" i="55" s="1"/>
  <c r="AL92" i="55" s="1"/>
  <c r="AM92" i="55" s="1"/>
  <c r="AN92" i="55" s="1"/>
  <c r="AO92" i="55" s="1"/>
  <c r="AP92" i="55" s="1"/>
  <c r="Z97" i="55"/>
  <c r="AA97" i="55" s="1"/>
  <c r="AB97" i="55" s="1"/>
  <c r="AC97" i="55" s="1"/>
  <c r="AD97" i="55" s="1"/>
  <c r="AE97" i="55" s="1"/>
  <c r="AF97" i="55" s="1"/>
  <c r="AG97" i="55" s="1"/>
  <c r="AH97" i="55" s="1"/>
  <c r="AI97" i="55" s="1"/>
  <c r="AJ97" i="55" s="1"/>
  <c r="AK97" i="55" s="1"/>
  <c r="AL97" i="55" s="1"/>
  <c r="AM97" i="55" s="1"/>
  <c r="AN97" i="55" s="1"/>
  <c r="AO97" i="55" s="1"/>
  <c r="AP97" i="55" s="1"/>
  <c r="Z107" i="55"/>
  <c r="AA107" i="55" s="1"/>
  <c r="AB107" i="55" s="1"/>
  <c r="AC107" i="55" s="1"/>
  <c r="AD107" i="55" s="1"/>
  <c r="AE107" i="55" s="1"/>
  <c r="AF107" i="55" s="1"/>
  <c r="AG107" i="55" s="1"/>
  <c r="AH107" i="55" s="1"/>
  <c r="AI107" i="55" s="1"/>
  <c r="AJ107" i="55" s="1"/>
  <c r="AK107" i="55" s="1"/>
  <c r="AL107" i="55" s="1"/>
  <c r="AM107" i="55" s="1"/>
  <c r="AN107" i="55" s="1"/>
  <c r="AO107" i="55" s="1"/>
  <c r="AP107" i="55" s="1"/>
  <c r="Z100" i="55"/>
  <c r="AA100" i="55" s="1"/>
  <c r="AB100" i="55" s="1"/>
  <c r="AC100" i="55" s="1"/>
  <c r="AD100" i="55" s="1"/>
  <c r="AE100" i="55" s="1"/>
  <c r="AF100" i="55" s="1"/>
  <c r="AG100" i="55" s="1"/>
  <c r="AH100" i="55" s="1"/>
  <c r="AI100" i="55" s="1"/>
  <c r="AJ100" i="55" s="1"/>
  <c r="AK100" i="55" s="1"/>
  <c r="AL100" i="55" s="1"/>
  <c r="AM100" i="55" s="1"/>
  <c r="AN100" i="55" s="1"/>
  <c r="AO100" i="55" s="1"/>
  <c r="AP100" i="55" s="1"/>
  <c r="AL112" i="55"/>
  <c r="AM43" i="55"/>
  <c r="AM112" i="55" s="1"/>
  <c r="N27" i="47"/>
  <c r="R195" i="55"/>
  <c r="AI207" i="55"/>
  <c r="AI206" i="55"/>
  <c r="AI205" i="55"/>
  <c r="AI202" i="55"/>
  <c r="AI204" i="55"/>
  <c r="AI208" i="55"/>
  <c r="V139" i="55" l="1"/>
  <c r="S18" i="47" s="1"/>
  <c r="V144" i="55"/>
  <c r="W144" i="55" s="1"/>
  <c r="T75" i="55"/>
  <c r="U75" i="55" s="1"/>
  <c r="R14" i="47"/>
  <c r="W141" i="55"/>
  <c r="X141" i="55" s="1"/>
  <c r="R17" i="47"/>
  <c r="T71" i="55"/>
  <c r="U71" i="55" s="1"/>
  <c r="R36" i="47" s="1"/>
  <c r="V151" i="55"/>
  <c r="W151" i="55" s="1"/>
  <c r="O51" i="47"/>
  <c r="S236" i="55"/>
  <c r="T236" i="55" s="1"/>
  <c r="U73" i="55"/>
  <c r="R37" i="47" s="1"/>
  <c r="T77" i="55"/>
  <c r="U77" i="55" s="1"/>
  <c r="R34" i="47" s="1"/>
  <c r="T88" i="55"/>
  <c r="U88" i="55" s="1"/>
  <c r="S157" i="55"/>
  <c r="P48" i="47" s="1"/>
  <c r="S235" i="55"/>
  <c r="T235" i="55" s="1"/>
  <c r="R16" i="47"/>
  <c r="V136" i="55"/>
  <c r="O25" i="47"/>
  <c r="R11" i="47"/>
  <c r="V137" i="55"/>
  <c r="O28" i="47"/>
  <c r="T74" i="55"/>
  <c r="P32" i="47"/>
  <c r="S159" i="55"/>
  <c r="P46" i="47" s="1"/>
  <c r="S162" i="55"/>
  <c r="O47" i="47"/>
  <c r="S155" i="55"/>
  <c r="O55" i="47"/>
  <c r="S163" i="55"/>
  <c r="P44" i="47" s="1"/>
  <c r="O132" i="47"/>
  <c r="S161" i="55"/>
  <c r="S233" i="55"/>
  <c r="P57" i="47" s="1"/>
  <c r="R10" i="47"/>
  <c r="V135" i="55"/>
  <c r="O43" i="47"/>
  <c r="S158" i="55"/>
  <c r="O50" i="47"/>
  <c r="S160" i="55"/>
  <c r="AL154" i="55"/>
  <c r="AM45" i="55"/>
  <c r="AM154" i="55" s="1"/>
  <c r="AJ204" i="55"/>
  <c r="AJ202" i="55"/>
  <c r="AJ208" i="55"/>
  <c r="AJ205" i="55"/>
  <c r="AJ206" i="55"/>
  <c r="AJ207" i="55"/>
  <c r="AK230" i="55"/>
  <c r="AL53" i="55"/>
  <c r="P28" i="47"/>
  <c r="T200" i="55"/>
  <c r="T12" i="47"/>
  <c r="X142" i="55"/>
  <c r="O59" i="47"/>
  <c r="S240" i="55"/>
  <c r="O42" i="47"/>
  <c r="S156" i="55"/>
  <c r="Q41" i="47"/>
  <c r="U81" i="55"/>
  <c r="AK211" i="55"/>
  <c r="AL51" i="55"/>
  <c r="P132" i="47"/>
  <c r="T253" i="55"/>
  <c r="O22" i="47"/>
  <c r="S196" i="55"/>
  <c r="P31" i="47"/>
  <c r="T72" i="55"/>
  <c r="O24" i="47"/>
  <c r="S199" i="55"/>
  <c r="O30" i="47"/>
  <c r="S203" i="55"/>
  <c r="O60" i="47"/>
  <c r="S238" i="55"/>
  <c r="O26" i="47"/>
  <c r="S193" i="55"/>
  <c r="AJ221" i="55"/>
  <c r="AJ223" i="55"/>
  <c r="AJ222" i="55"/>
  <c r="AJ219" i="55"/>
  <c r="AJ213" i="55"/>
  <c r="AJ220" i="55"/>
  <c r="AJ227" i="55"/>
  <c r="AJ214" i="55"/>
  <c r="AJ229" i="55"/>
  <c r="AJ224" i="55"/>
  <c r="AJ226" i="55"/>
  <c r="AJ225" i="55"/>
  <c r="AJ217" i="55"/>
  <c r="AJ228" i="55"/>
  <c r="AJ215" i="55"/>
  <c r="AJ218" i="55"/>
  <c r="AJ216" i="55"/>
  <c r="AJ212" i="55"/>
  <c r="P55" i="47"/>
  <c r="T239" i="55"/>
  <c r="Q33" i="47"/>
  <c r="U79" i="55"/>
  <c r="O27" i="47"/>
  <c r="S195" i="55"/>
  <c r="P25" i="47"/>
  <c r="T197" i="55"/>
  <c r="AL70" i="55"/>
  <c r="AM41" i="55"/>
  <c r="AM70" i="55" s="1"/>
  <c r="O54" i="47"/>
  <c r="S241" i="55"/>
  <c r="O56" i="47"/>
  <c r="S237" i="55"/>
  <c r="Q38" i="47"/>
  <c r="U78" i="55"/>
  <c r="S13" i="47"/>
  <c r="W140" i="55"/>
  <c r="AJ232" i="55"/>
  <c r="AJ247" i="55"/>
  <c r="AJ252" i="55"/>
  <c r="AJ242" i="55"/>
  <c r="AJ249" i="55"/>
  <c r="AJ250" i="55"/>
  <c r="AJ246" i="55"/>
  <c r="AJ245" i="55"/>
  <c r="AJ251" i="55"/>
  <c r="AJ248" i="55"/>
  <c r="AJ244" i="55"/>
  <c r="AJ231" i="55"/>
  <c r="O61" i="47"/>
  <c r="S243" i="55"/>
  <c r="O52" i="47"/>
  <c r="S234" i="55"/>
  <c r="Z168" i="55"/>
  <c r="AA168" i="55" s="1"/>
  <c r="AB168" i="55" s="1"/>
  <c r="AC168" i="55" s="1"/>
  <c r="AD168" i="55" s="1"/>
  <c r="AE168" i="55" s="1"/>
  <c r="AF168" i="55" s="1"/>
  <c r="AG168" i="55" s="1"/>
  <c r="AH168" i="55" s="1"/>
  <c r="AI168" i="55" s="1"/>
  <c r="AJ168" i="55" s="1"/>
  <c r="AK168" i="55" s="1"/>
  <c r="Z169" i="55"/>
  <c r="AA169" i="55" s="1"/>
  <c r="AB169" i="55" s="1"/>
  <c r="AC169" i="55" s="1"/>
  <c r="AD169" i="55" s="1"/>
  <c r="AE169" i="55" s="1"/>
  <c r="AF169" i="55" s="1"/>
  <c r="AG169" i="55" s="1"/>
  <c r="AH169" i="55" s="1"/>
  <c r="AI169" i="55" s="1"/>
  <c r="AJ169" i="55" s="1"/>
  <c r="AK169" i="55" s="1"/>
  <c r="Z171" i="55"/>
  <c r="AA171" i="55" s="1"/>
  <c r="AB171" i="55" s="1"/>
  <c r="AC171" i="55" s="1"/>
  <c r="AD171" i="55" s="1"/>
  <c r="AE171" i="55" s="1"/>
  <c r="AF171" i="55" s="1"/>
  <c r="AG171" i="55" s="1"/>
  <c r="AH171" i="55" s="1"/>
  <c r="AI171" i="55" s="1"/>
  <c r="AJ171" i="55" s="1"/>
  <c r="AK171" i="55" s="1"/>
  <c r="Z167" i="55"/>
  <c r="AA167" i="55" s="1"/>
  <c r="AB167" i="55" s="1"/>
  <c r="AC167" i="55" s="1"/>
  <c r="AD167" i="55" s="1"/>
  <c r="AE167" i="55" s="1"/>
  <c r="AF167" i="55" s="1"/>
  <c r="AG167" i="55" s="1"/>
  <c r="AH167" i="55" s="1"/>
  <c r="AI167" i="55" s="1"/>
  <c r="AJ167" i="55" s="1"/>
  <c r="AK167" i="55" s="1"/>
  <c r="Z166" i="55"/>
  <c r="AA166" i="55" s="1"/>
  <c r="AB166" i="55" s="1"/>
  <c r="AC166" i="55" s="1"/>
  <c r="AD166" i="55" s="1"/>
  <c r="AE166" i="55" s="1"/>
  <c r="AF166" i="55" s="1"/>
  <c r="AG166" i="55" s="1"/>
  <c r="AH166" i="55" s="1"/>
  <c r="AI166" i="55" s="1"/>
  <c r="AJ166" i="55" s="1"/>
  <c r="AK166" i="55" s="1"/>
  <c r="Z170" i="55"/>
  <c r="AA170" i="55" s="1"/>
  <c r="AB170" i="55" s="1"/>
  <c r="AC170" i="55" s="1"/>
  <c r="AD170" i="55" s="1"/>
  <c r="AE170" i="55" s="1"/>
  <c r="AF170" i="55" s="1"/>
  <c r="AG170" i="55" s="1"/>
  <c r="AH170" i="55" s="1"/>
  <c r="AI170" i="55" s="1"/>
  <c r="AJ170" i="55" s="1"/>
  <c r="AK170" i="55" s="1"/>
  <c r="Z172" i="55"/>
  <c r="AA172" i="55" s="1"/>
  <c r="AB172" i="55" s="1"/>
  <c r="AC172" i="55" s="1"/>
  <c r="AD172" i="55" s="1"/>
  <c r="AE172" i="55" s="1"/>
  <c r="AF172" i="55" s="1"/>
  <c r="AG172" i="55" s="1"/>
  <c r="AH172" i="55" s="1"/>
  <c r="AI172" i="55" s="1"/>
  <c r="AJ172" i="55" s="1"/>
  <c r="AK172" i="55" s="1"/>
  <c r="Z164" i="55"/>
  <c r="AA164" i="55" s="1"/>
  <c r="AB164" i="55" s="1"/>
  <c r="AC164" i="55" s="1"/>
  <c r="AD164" i="55" s="1"/>
  <c r="AE164" i="55" s="1"/>
  <c r="AF164" i="55" s="1"/>
  <c r="AG164" i="55" s="1"/>
  <c r="AH164" i="55" s="1"/>
  <c r="AI164" i="55" s="1"/>
  <c r="AJ164" i="55" s="1"/>
  <c r="AK164" i="55" s="1"/>
  <c r="S15" i="47"/>
  <c r="W134" i="55"/>
  <c r="AL173" i="55"/>
  <c r="AM46" i="55"/>
  <c r="AM173" i="55" s="1"/>
  <c r="AK133" i="55"/>
  <c r="AL44" i="55"/>
  <c r="O29" i="47"/>
  <c r="S198" i="55"/>
  <c r="S14" i="47"/>
  <c r="W138" i="55"/>
  <c r="AK181" i="55"/>
  <c r="AK174" i="55"/>
  <c r="AK180" i="55"/>
  <c r="AK184" i="55"/>
  <c r="AK189" i="55"/>
  <c r="AK185" i="55"/>
  <c r="AK176" i="55"/>
  <c r="AK187" i="55"/>
  <c r="AK188" i="55"/>
  <c r="AK182" i="55"/>
  <c r="AK186" i="55"/>
  <c r="AK179" i="55"/>
  <c r="AK178" i="55"/>
  <c r="AK177" i="55"/>
  <c r="AK183" i="55"/>
  <c r="AK175" i="55"/>
  <c r="AJ146" i="55"/>
  <c r="AJ149" i="55"/>
  <c r="AJ153" i="55"/>
  <c r="AJ150" i="55"/>
  <c r="AJ148" i="55"/>
  <c r="AJ143" i="55"/>
  <c r="AJ152" i="55"/>
  <c r="AJ147" i="55"/>
  <c r="AJ145" i="55"/>
  <c r="O23" i="47"/>
  <c r="S201" i="55"/>
  <c r="O21" i="47"/>
  <c r="S194" i="55"/>
  <c r="P39" i="47"/>
  <c r="T76" i="55"/>
  <c r="P51" i="47"/>
  <c r="T165" i="55"/>
  <c r="AK192" i="55"/>
  <c r="AL50" i="55"/>
  <c r="Z122" i="55"/>
  <c r="AA122" i="55" s="1"/>
  <c r="AB122" i="55" s="1"/>
  <c r="AC122" i="55" s="1"/>
  <c r="AD122" i="55" s="1"/>
  <c r="AE122" i="55" s="1"/>
  <c r="AF122" i="55" s="1"/>
  <c r="AG122" i="55" s="1"/>
  <c r="AH122" i="55" s="1"/>
  <c r="AI122" i="55" s="1"/>
  <c r="AJ122" i="55" s="1"/>
  <c r="AK122" i="55" s="1"/>
  <c r="AL122" i="55" s="1"/>
  <c r="AM122" i="55" s="1"/>
  <c r="AN122" i="55" s="1"/>
  <c r="AO122" i="55" s="1"/>
  <c r="AP122" i="55" s="1"/>
  <c r="Z121" i="55"/>
  <c r="AA121" i="55" s="1"/>
  <c r="AB121" i="55" s="1"/>
  <c r="AC121" i="55" s="1"/>
  <c r="AD121" i="55" s="1"/>
  <c r="AE121" i="55" s="1"/>
  <c r="AF121" i="55" s="1"/>
  <c r="AG121" i="55" s="1"/>
  <c r="AH121" i="55" s="1"/>
  <c r="AI121" i="55" s="1"/>
  <c r="AJ121" i="55" s="1"/>
  <c r="AK121" i="55" s="1"/>
  <c r="AL121" i="55" s="1"/>
  <c r="AM121" i="55" s="1"/>
  <c r="AN121" i="55" s="1"/>
  <c r="AO121" i="55" s="1"/>
  <c r="AP121" i="55" s="1"/>
  <c r="Z113" i="55"/>
  <c r="AA113" i="55" s="1"/>
  <c r="AB113" i="55" s="1"/>
  <c r="AC113" i="55" s="1"/>
  <c r="AD113" i="55" s="1"/>
  <c r="AE113" i="55" s="1"/>
  <c r="AF113" i="55" s="1"/>
  <c r="AG113" i="55" s="1"/>
  <c r="AH113" i="55" s="1"/>
  <c r="AI113" i="55" s="1"/>
  <c r="AJ113" i="55" s="1"/>
  <c r="AK113" i="55" s="1"/>
  <c r="AL113" i="55" s="1"/>
  <c r="AM113" i="55" s="1"/>
  <c r="AN113" i="55" s="1"/>
  <c r="AO113" i="55" s="1"/>
  <c r="AP113" i="55" s="1"/>
  <c r="Z114" i="55"/>
  <c r="AA114" i="55" s="1"/>
  <c r="AB114" i="55" s="1"/>
  <c r="AC114" i="55" s="1"/>
  <c r="AD114" i="55" s="1"/>
  <c r="AE114" i="55" s="1"/>
  <c r="AF114" i="55" s="1"/>
  <c r="AG114" i="55" s="1"/>
  <c r="AH114" i="55" s="1"/>
  <c r="AI114" i="55" s="1"/>
  <c r="AJ114" i="55" s="1"/>
  <c r="AK114" i="55" s="1"/>
  <c r="AL114" i="55" s="1"/>
  <c r="AM114" i="55" s="1"/>
  <c r="AN114" i="55" s="1"/>
  <c r="AO114" i="55" s="1"/>
  <c r="AP114" i="55" s="1"/>
  <c r="Z115" i="55"/>
  <c r="AA115" i="55" s="1"/>
  <c r="AB115" i="55" s="1"/>
  <c r="AC115" i="55" s="1"/>
  <c r="AD115" i="55" s="1"/>
  <c r="AE115" i="55" s="1"/>
  <c r="AF115" i="55" s="1"/>
  <c r="AG115" i="55" s="1"/>
  <c r="AH115" i="55" s="1"/>
  <c r="AI115" i="55" s="1"/>
  <c r="AJ115" i="55" s="1"/>
  <c r="AK115" i="55" s="1"/>
  <c r="AL115" i="55" s="1"/>
  <c r="AM115" i="55" s="1"/>
  <c r="AN115" i="55" s="1"/>
  <c r="AO115" i="55" s="1"/>
  <c r="AP115" i="55" s="1"/>
  <c r="Z132" i="55"/>
  <c r="AA132" i="55" s="1"/>
  <c r="AB132" i="55" s="1"/>
  <c r="AC132" i="55" s="1"/>
  <c r="AD132" i="55" s="1"/>
  <c r="AE132" i="55" s="1"/>
  <c r="AF132" i="55" s="1"/>
  <c r="AG132" i="55" s="1"/>
  <c r="AH132" i="55" s="1"/>
  <c r="AI132" i="55" s="1"/>
  <c r="AJ132" i="55" s="1"/>
  <c r="AK132" i="55" s="1"/>
  <c r="AL132" i="55" s="1"/>
  <c r="AM132" i="55" s="1"/>
  <c r="AN132" i="55" s="1"/>
  <c r="AO132" i="55" s="1"/>
  <c r="AP132" i="55" s="1"/>
  <c r="Z116" i="55"/>
  <c r="AA116" i="55" s="1"/>
  <c r="AB116" i="55" s="1"/>
  <c r="AC116" i="55" s="1"/>
  <c r="AD116" i="55" s="1"/>
  <c r="AE116" i="55" s="1"/>
  <c r="AF116" i="55" s="1"/>
  <c r="AG116" i="55" s="1"/>
  <c r="AH116" i="55" s="1"/>
  <c r="AI116" i="55" s="1"/>
  <c r="AJ116" i="55" s="1"/>
  <c r="AK116" i="55" s="1"/>
  <c r="AL116" i="55" s="1"/>
  <c r="AM116" i="55" s="1"/>
  <c r="AN116" i="55" s="1"/>
  <c r="AO116" i="55" s="1"/>
  <c r="AP116" i="55" s="1"/>
  <c r="Z126" i="55"/>
  <c r="AA126" i="55" s="1"/>
  <c r="AB126" i="55" s="1"/>
  <c r="AC126" i="55" s="1"/>
  <c r="AD126" i="55" s="1"/>
  <c r="AE126" i="55" s="1"/>
  <c r="AF126" i="55" s="1"/>
  <c r="AG126" i="55" s="1"/>
  <c r="AH126" i="55" s="1"/>
  <c r="AI126" i="55" s="1"/>
  <c r="AJ126" i="55" s="1"/>
  <c r="AK126" i="55" s="1"/>
  <c r="AL126" i="55" s="1"/>
  <c r="AM126" i="55" s="1"/>
  <c r="AN126" i="55" s="1"/>
  <c r="AO126" i="55" s="1"/>
  <c r="AP126" i="55" s="1"/>
  <c r="Z129" i="55"/>
  <c r="AA129" i="55" s="1"/>
  <c r="AB129" i="55" s="1"/>
  <c r="AC129" i="55" s="1"/>
  <c r="AD129" i="55" s="1"/>
  <c r="AE129" i="55" s="1"/>
  <c r="AF129" i="55" s="1"/>
  <c r="AG129" i="55" s="1"/>
  <c r="AH129" i="55" s="1"/>
  <c r="AI129" i="55" s="1"/>
  <c r="AJ129" i="55" s="1"/>
  <c r="AK129" i="55" s="1"/>
  <c r="AL129" i="55" s="1"/>
  <c r="AM129" i="55" s="1"/>
  <c r="AN129" i="55" s="1"/>
  <c r="AO129" i="55" s="1"/>
  <c r="AP129" i="55" s="1"/>
  <c r="Z123" i="55"/>
  <c r="AA123" i="55" s="1"/>
  <c r="AB123" i="55" s="1"/>
  <c r="AC123" i="55" s="1"/>
  <c r="AD123" i="55" s="1"/>
  <c r="AE123" i="55" s="1"/>
  <c r="AF123" i="55" s="1"/>
  <c r="AG123" i="55" s="1"/>
  <c r="AH123" i="55" s="1"/>
  <c r="AI123" i="55" s="1"/>
  <c r="AJ123" i="55" s="1"/>
  <c r="AK123" i="55" s="1"/>
  <c r="AL123" i="55" s="1"/>
  <c r="AM123" i="55" s="1"/>
  <c r="AN123" i="55" s="1"/>
  <c r="AO123" i="55" s="1"/>
  <c r="AP123" i="55" s="1"/>
  <c r="Z130" i="55"/>
  <c r="AA130" i="55" s="1"/>
  <c r="AB130" i="55" s="1"/>
  <c r="AC130" i="55" s="1"/>
  <c r="AD130" i="55" s="1"/>
  <c r="AE130" i="55" s="1"/>
  <c r="AF130" i="55" s="1"/>
  <c r="AG130" i="55" s="1"/>
  <c r="AH130" i="55" s="1"/>
  <c r="AI130" i="55" s="1"/>
  <c r="AJ130" i="55" s="1"/>
  <c r="AK130" i="55" s="1"/>
  <c r="AL130" i="55" s="1"/>
  <c r="AM130" i="55" s="1"/>
  <c r="AN130" i="55" s="1"/>
  <c r="AO130" i="55" s="1"/>
  <c r="AP130" i="55" s="1"/>
  <c r="Z125" i="55"/>
  <c r="AA125" i="55" s="1"/>
  <c r="AB125" i="55" s="1"/>
  <c r="AC125" i="55" s="1"/>
  <c r="AD125" i="55" s="1"/>
  <c r="AE125" i="55" s="1"/>
  <c r="AF125" i="55" s="1"/>
  <c r="AG125" i="55" s="1"/>
  <c r="AH125" i="55" s="1"/>
  <c r="AI125" i="55" s="1"/>
  <c r="AJ125" i="55" s="1"/>
  <c r="AK125" i="55" s="1"/>
  <c r="AL125" i="55" s="1"/>
  <c r="AM125" i="55" s="1"/>
  <c r="AN125" i="55" s="1"/>
  <c r="AO125" i="55" s="1"/>
  <c r="AP125" i="55" s="1"/>
  <c r="Z120" i="55"/>
  <c r="AA120" i="55" s="1"/>
  <c r="AB120" i="55" s="1"/>
  <c r="AC120" i="55" s="1"/>
  <c r="AD120" i="55" s="1"/>
  <c r="AE120" i="55" s="1"/>
  <c r="AF120" i="55" s="1"/>
  <c r="AG120" i="55" s="1"/>
  <c r="AH120" i="55" s="1"/>
  <c r="AI120" i="55" s="1"/>
  <c r="AJ120" i="55" s="1"/>
  <c r="AK120" i="55" s="1"/>
  <c r="AL120" i="55" s="1"/>
  <c r="AM120" i="55" s="1"/>
  <c r="AN120" i="55" s="1"/>
  <c r="AO120" i="55" s="1"/>
  <c r="AP120" i="55" s="1"/>
  <c r="Z119" i="55"/>
  <c r="AA119" i="55" s="1"/>
  <c r="AB119" i="55" s="1"/>
  <c r="AC119" i="55" s="1"/>
  <c r="AD119" i="55" s="1"/>
  <c r="AE119" i="55" s="1"/>
  <c r="AF119" i="55" s="1"/>
  <c r="AG119" i="55" s="1"/>
  <c r="AH119" i="55" s="1"/>
  <c r="AI119" i="55" s="1"/>
  <c r="AJ119" i="55" s="1"/>
  <c r="AK119" i="55" s="1"/>
  <c r="AL119" i="55" s="1"/>
  <c r="AM119" i="55" s="1"/>
  <c r="AN119" i="55" s="1"/>
  <c r="AO119" i="55" s="1"/>
  <c r="AP119" i="55" s="1"/>
  <c r="Z131" i="55"/>
  <c r="AA131" i="55" s="1"/>
  <c r="AB131" i="55" s="1"/>
  <c r="AC131" i="55" s="1"/>
  <c r="AD131" i="55" s="1"/>
  <c r="AE131" i="55" s="1"/>
  <c r="AF131" i="55" s="1"/>
  <c r="AG131" i="55" s="1"/>
  <c r="AH131" i="55" s="1"/>
  <c r="AI131" i="55" s="1"/>
  <c r="AJ131" i="55" s="1"/>
  <c r="AK131" i="55" s="1"/>
  <c r="AL131" i="55" s="1"/>
  <c r="AM131" i="55" s="1"/>
  <c r="AN131" i="55" s="1"/>
  <c r="AO131" i="55" s="1"/>
  <c r="AP131" i="55" s="1"/>
  <c r="Z124" i="55"/>
  <c r="AA124" i="55" s="1"/>
  <c r="AB124" i="55" s="1"/>
  <c r="AC124" i="55" s="1"/>
  <c r="AD124" i="55" s="1"/>
  <c r="AE124" i="55" s="1"/>
  <c r="AF124" i="55" s="1"/>
  <c r="AG124" i="55" s="1"/>
  <c r="AH124" i="55" s="1"/>
  <c r="AI124" i="55" s="1"/>
  <c r="AJ124" i="55" s="1"/>
  <c r="AK124" i="55" s="1"/>
  <c r="AL124" i="55" s="1"/>
  <c r="AM124" i="55" s="1"/>
  <c r="AN124" i="55" s="1"/>
  <c r="AO124" i="55" s="1"/>
  <c r="AP124" i="55" s="1"/>
  <c r="Z117" i="55"/>
  <c r="AA117" i="55" s="1"/>
  <c r="AB117" i="55" s="1"/>
  <c r="AC117" i="55" s="1"/>
  <c r="AD117" i="55" s="1"/>
  <c r="AE117" i="55" s="1"/>
  <c r="AF117" i="55" s="1"/>
  <c r="AG117" i="55" s="1"/>
  <c r="AH117" i="55" s="1"/>
  <c r="AI117" i="55" s="1"/>
  <c r="AJ117" i="55" s="1"/>
  <c r="AK117" i="55" s="1"/>
  <c r="AL117" i="55" s="1"/>
  <c r="AM117" i="55" s="1"/>
  <c r="AN117" i="55" s="1"/>
  <c r="AO117" i="55" s="1"/>
  <c r="AP117" i="55" s="1"/>
  <c r="Z118" i="55"/>
  <c r="AA118" i="55" s="1"/>
  <c r="AB118" i="55" s="1"/>
  <c r="AC118" i="55" s="1"/>
  <c r="AD118" i="55" s="1"/>
  <c r="AE118" i="55" s="1"/>
  <c r="AF118" i="55" s="1"/>
  <c r="AG118" i="55" s="1"/>
  <c r="AH118" i="55" s="1"/>
  <c r="AI118" i="55" s="1"/>
  <c r="AJ118" i="55" s="1"/>
  <c r="AK118" i="55" s="1"/>
  <c r="AL118" i="55" s="1"/>
  <c r="AM118" i="55" s="1"/>
  <c r="AN118" i="55" s="1"/>
  <c r="AO118" i="55" s="1"/>
  <c r="AP118" i="55" s="1"/>
  <c r="Z127" i="55"/>
  <c r="AA127" i="55" s="1"/>
  <c r="AB127" i="55" s="1"/>
  <c r="AC127" i="55" s="1"/>
  <c r="AD127" i="55" s="1"/>
  <c r="AE127" i="55" s="1"/>
  <c r="AF127" i="55" s="1"/>
  <c r="AG127" i="55" s="1"/>
  <c r="AH127" i="55" s="1"/>
  <c r="AI127" i="55" s="1"/>
  <c r="AJ127" i="55" s="1"/>
  <c r="AK127" i="55" s="1"/>
  <c r="AL127" i="55" s="1"/>
  <c r="AM127" i="55" s="1"/>
  <c r="AN127" i="55" s="1"/>
  <c r="AO127" i="55" s="1"/>
  <c r="AP127" i="55" s="1"/>
  <c r="Z128" i="55"/>
  <c r="AA128" i="55" s="1"/>
  <c r="AB128" i="55" s="1"/>
  <c r="AC128" i="55" s="1"/>
  <c r="AD128" i="55" s="1"/>
  <c r="AE128" i="55" s="1"/>
  <c r="AF128" i="55" s="1"/>
  <c r="AG128" i="55" s="1"/>
  <c r="AH128" i="55" s="1"/>
  <c r="AI128" i="55" s="1"/>
  <c r="AJ128" i="55" s="1"/>
  <c r="AK128" i="55" s="1"/>
  <c r="AL128" i="55" s="1"/>
  <c r="AM128" i="55" s="1"/>
  <c r="AN128" i="55" s="1"/>
  <c r="AO128" i="55" s="1"/>
  <c r="AP128" i="55" s="1"/>
  <c r="Z87" i="55"/>
  <c r="AA87" i="55" s="1"/>
  <c r="AB87" i="55" s="1"/>
  <c r="AC87" i="55" s="1"/>
  <c r="AD87" i="55" s="1"/>
  <c r="AE87" i="55" s="1"/>
  <c r="AF87" i="55" s="1"/>
  <c r="AG87" i="55" s="1"/>
  <c r="AH87" i="55" s="1"/>
  <c r="AI87" i="55" s="1"/>
  <c r="AJ87" i="55" s="1"/>
  <c r="AK87" i="55" s="1"/>
  <c r="Z85" i="55"/>
  <c r="AA85" i="55" s="1"/>
  <c r="AB85" i="55" s="1"/>
  <c r="AC85" i="55" s="1"/>
  <c r="AD85" i="55" s="1"/>
  <c r="AE85" i="55" s="1"/>
  <c r="AF85" i="55" s="1"/>
  <c r="AG85" i="55" s="1"/>
  <c r="AH85" i="55" s="1"/>
  <c r="AI85" i="55" s="1"/>
  <c r="AJ85" i="55" s="1"/>
  <c r="AK85" i="55" s="1"/>
  <c r="Z86" i="55"/>
  <c r="AA86" i="55" s="1"/>
  <c r="AB86" i="55" s="1"/>
  <c r="AC86" i="55" s="1"/>
  <c r="AD86" i="55" s="1"/>
  <c r="AE86" i="55" s="1"/>
  <c r="AF86" i="55" s="1"/>
  <c r="AG86" i="55" s="1"/>
  <c r="AH86" i="55" s="1"/>
  <c r="AI86" i="55" s="1"/>
  <c r="AJ86" i="55" s="1"/>
  <c r="AK86" i="55" s="1"/>
  <c r="Z80" i="55"/>
  <c r="AA80" i="55" s="1"/>
  <c r="AB80" i="55" s="1"/>
  <c r="AC80" i="55" s="1"/>
  <c r="AD80" i="55" s="1"/>
  <c r="AE80" i="55" s="1"/>
  <c r="AF80" i="55" s="1"/>
  <c r="AG80" i="55" s="1"/>
  <c r="AH80" i="55" s="1"/>
  <c r="AI80" i="55" s="1"/>
  <c r="AJ80" i="55" s="1"/>
  <c r="AK80" i="55" s="1"/>
  <c r="Z90" i="55"/>
  <c r="AA90" i="55" s="1"/>
  <c r="AB90" i="55" s="1"/>
  <c r="AC90" i="55" s="1"/>
  <c r="AD90" i="55" s="1"/>
  <c r="AE90" i="55" s="1"/>
  <c r="AF90" i="55" s="1"/>
  <c r="AG90" i="55" s="1"/>
  <c r="AH90" i="55" s="1"/>
  <c r="AI90" i="55" s="1"/>
  <c r="AJ90" i="55" s="1"/>
  <c r="AK90" i="55" s="1"/>
  <c r="Z84" i="55"/>
  <c r="AA84" i="55" s="1"/>
  <c r="AB84" i="55" s="1"/>
  <c r="AC84" i="55" s="1"/>
  <c r="AD84" i="55" s="1"/>
  <c r="AE84" i="55" s="1"/>
  <c r="AF84" i="55" s="1"/>
  <c r="AG84" i="55" s="1"/>
  <c r="AH84" i="55" s="1"/>
  <c r="AI84" i="55" s="1"/>
  <c r="AJ84" i="55" s="1"/>
  <c r="AK84" i="55" s="1"/>
  <c r="Z82" i="55"/>
  <c r="AA82" i="55" s="1"/>
  <c r="AB82" i="55" s="1"/>
  <c r="AC82" i="55" s="1"/>
  <c r="AD82" i="55" s="1"/>
  <c r="AE82" i="55" s="1"/>
  <c r="AF82" i="55" s="1"/>
  <c r="AG82" i="55" s="1"/>
  <c r="AH82" i="55" s="1"/>
  <c r="AI82" i="55" s="1"/>
  <c r="AJ82" i="55" s="1"/>
  <c r="AK82" i="55" s="1"/>
  <c r="Z83" i="55"/>
  <c r="AA83" i="55" s="1"/>
  <c r="AB83" i="55" s="1"/>
  <c r="AC83" i="55" s="1"/>
  <c r="AD83" i="55" s="1"/>
  <c r="AE83" i="55" s="1"/>
  <c r="AF83" i="55" s="1"/>
  <c r="AG83" i="55" s="1"/>
  <c r="AH83" i="55" s="1"/>
  <c r="AI83" i="55" s="1"/>
  <c r="AJ83" i="55" s="1"/>
  <c r="AK83" i="55" s="1"/>
  <c r="Z89" i="55"/>
  <c r="AA89" i="55" s="1"/>
  <c r="AB89" i="55" s="1"/>
  <c r="AC89" i="55" s="1"/>
  <c r="AD89" i="55" s="1"/>
  <c r="AE89" i="55" s="1"/>
  <c r="AF89" i="55" s="1"/>
  <c r="AG89" i="55" s="1"/>
  <c r="AH89" i="55" s="1"/>
  <c r="AI89" i="55" s="1"/>
  <c r="AJ89" i="55" s="1"/>
  <c r="AK89" i="55" s="1"/>
  <c r="W139" i="55" l="1"/>
  <c r="T18" i="47" s="1"/>
  <c r="S19" i="47"/>
  <c r="Q35" i="47"/>
  <c r="T17" i="47"/>
  <c r="P53" i="47"/>
  <c r="S20" i="47"/>
  <c r="V73" i="55"/>
  <c r="S37" i="47" s="1"/>
  <c r="Q36" i="47"/>
  <c r="V71" i="55"/>
  <c r="W71" i="55" s="1"/>
  <c r="Q40" i="47"/>
  <c r="P58" i="47"/>
  <c r="V77" i="55"/>
  <c r="S34" i="47" s="1"/>
  <c r="Q34" i="47"/>
  <c r="T157" i="55"/>
  <c r="Q48" i="47" s="1"/>
  <c r="W136" i="55"/>
  <c r="S16" i="47"/>
  <c r="S11" i="47"/>
  <c r="W137" i="55"/>
  <c r="Q32" i="47"/>
  <c r="U74" i="55"/>
  <c r="T159" i="55"/>
  <c r="Q46" i="47" s="1"/>
  <c r="P47" i="47"/>
  <c r="T155" i="55"/>
  <c r="P49" i="47"/>
  <c r="T162" i="55"/>
  <c r="T233" i="55"/>
  <c r="U233" i="55" s="1"/>
  <c r="T163" i="55"/>
  <c r="P45" i="47"/>
  <c r="T161" i="55"/>
  <c r="P43" i="47"/>
  <c r="T158" i="55"/>
  <c r="S10" i="47"/>
  <c r="W135" i="55"/>
  <c r="P50" i="47"/>
  <c r="T160" i="55"/>
  <c r="R38" i="47"/>
  <c r="V78" i="55"/>
  <c r="Q51" i="47"/>
  <c r="U165" i="55"/>
  <c r="AL133" i="55"/>
  <c r="AM44" i="55"/>
  <c r="AM133" i="55" s="1"/>
  <c r="AL192" i="55"/>
  <c r="AM50" i="55"/>
  <c r="AM192" i="55" s="1"/>
  <c r="AK147" i="55"/>
  <c r="AK146" i="55"/>
  <c r="AK145" i="55"/>
  <c r="AK150" i="55"/>
  <c r="AK149" i="55"/>
  <c r="AK148" i="55"/>
  <c r="AK143" i="55"/>
  <c r="AK152" i="55"/>
  <c r="AK153" i="55"/>
  <c r="P56" i="47"/>
  <c r="T237" i="55"/>
  <c r="R33" i="47"/>
  <c r="V79" i="55"/>
  <c r="P26" i="47"/>
  <c r="T193" i="55"/>
  <c r="Q132" i="47"/>
  <c r="U253" i="55"/>
  <c r="R40" i="47"/>
  <c r="V88" i="55"/>
  <c r="R35" i="47"/>
  <c r="V75" i="55"/>
  <c r="P54" i="47"/>
  <c r="T241" i="55"/>
  <c r="Q55" i="47"/>
  <c r="U239" i="55"/>
  <c r="P60" i="47"/>
  <c r="T238" i="55"/>
  <c r="AL211" i="55"/>
  <c r="AM51" i="55"/>
  <c r="AM211" i="55" s="1"/>
  <c r="U12" i="47"/>
  <c r="Y142" i="55"/>
  <c r="AL230" i="55"/>
  <c r="AM53" i="55"/>
  <c r="AM230" i="55" s="1"/>
  <c r="P52" i="47"/>
  <c r="T234" i="55"/>
  <c r="AK220" i="55"/>
  <c r="AK222" i="55"/>
  <c r="AK217" i="55"/>
  <c r="AK219" i="55"/>
  <c r="AK228" i="55"/>
  <c r="AK224" i="55"/>
  <c r="AK215" i="55"/>
  <c r="AK213" i="55"/>
  <c r="AK218" i="55"/>
  <c r="AK226" i="55"/>
  <c r="AK223" i="55"/>
  <c r="AK212" i="55"/>
  <c r="AK225" i="55"/>
  <c r="AK216" i="55"/>
  <c r="AK214" i="55"/>
  <c r="AK229" i="55"/>
  <c r="AK221" i="55"/>
  <c r="AK227" i="55"/>
  <c r="AK244" i="55"/>
  <c r="AK245" i="55"/>
  <c r="AK247" i="55"/>
  <c r="AK251" i="55"/>
  <c r="AK248" i="55"/>
  <c r="AK249" i="55"/>
  <c r="AK250" i="55"/>
  <c r="AK246" i="55"/>
  <c r="AK231" i="55"/>
  <c r="AK232" i="55"/>
  <c r="AK242" i="55"/>
  <c r="AK252" i="55"/>
  <c r="U17" i="47"/>
  <c r="Y141" i="55"/>
  <c r="AL181" i="55"/>
  <c r="AM181" i="55" s="1"/>
  <c r="AN181" i="55" s="1"/>
  <c r="AO181" i="55" s="1"/>
  <c r="AP181" i="55" s="1"/>
  <c r="AL189" i="55"/>
  <c r="AM189" i="55" s="1"/>
  <c r="AN189" i="55" s="1"/>
  <c r="AO189" i="55" s="1"/>
  <c r="AP189" i="55" s="1"/>
  <c r="AL175" i="55"/>
  <c r="AM175" i="55" s="1"/>
  <c r="AN175" i="55" s="1"/>
  <c r="AO175" i="55" s="1"/>
  <c r="AP175" i="55" s="1"/>
  <c r="AL176" i="55"/>
  <c r="AM176" i="55" s="1"/>
  <c r="AN176" i="55" s="1"/>
  <c r="AO176" i="55" s="1"/>
  <c r="AP176" i="55" s="1"/>
  <c r="AL187" i="55"/>
  <c r="AM187" i="55" s="1"/>
  <c r="AN187" i="55" s="1"/>
  <c r="AO187" i="55" s="1"/>
  <c r="AP187" i="55" s="1"/>
  <c r="AL188" i="55"/>
  <c r="AM188" i="55" s="1"/>
  <c r="AN188" i="55" s="1"/>
  <c r="AO188" i="55" s="1"/>
  <c r="AP188" i="55" s="1"/>
  <c r="AL180" i="55"/>
  <c r="AM180" i="55" s="1"/>
  <c r="AN180" i="55" s="1"/>
  <c r="AO180" i="55" s="1"/>
  <c r="AP180" i="55" s="1"/>
  <c r="AL174" i="55"/>
  <c r="AM174" i="55" s="1"/>
  <c r="AN174" i="55" s="1"/>
  <c r="AO174" i="55" s="1"/>
  <c r="AP174" i="55" s="1"/>
  <c r="AL182" i="55"/>
  <c r="AM182" i="55" s="1"/>
  <c r="AN182" i="55" s="1"/>
  <c r="AO182" i="55" s="1"/>
  <c r="AP182" i="55" s="1"/>
  <c r="AL186" i="55"/>
  <c r="AM186" i="55" s="1"/>
  <c r="AN186" i="55" s="1"/>
  <c r="AO186" i="55" s="1"/>
  <c r="AP186" i="55" s="1"/>
  <c r="AL179" i="55"/>
  <c r="AM179" i="55" s="1"/>
  <c r="AN179" i="55" s="1"/>
  <c r="AO179" i="55" s="1"/>
  <c r="AP179" i="55" s="1"/>
  <c r="AL178" i="55"/>
  <c r="AM178" i="55" s="1"/>
  <c r="AN178" i="55" s="1"/>
  <c r="AO178" i="55" s="1"/>
  <c r="AP178" i="55" s="1"/>
  <c r="AL184" i="55"/>
  <c r="AM184" i="55" s="1"/>
  <c r="AN184" i="55" s="1"/>
  <c r="AO184" i="55" s="1"/>
  <c r="AP184" i="55" s="1"/>
  <c r="AL185" i="55"/>
  <c r="AM185" i="55" s="1"/>
  <c r="AN185" i="55" s="1"/>
  <c r="AO185" i="55" s="1"/>
  <c r="AP185" i="55" s="1"/>
  <c r="AL177" i="55"/>
  <c r="AM177" i="55" s="1"/>
  <c r="AN177" i="55" s="1"/>
  <c r="AO177" i="55" s="1"/>
  <c r="AP177" i="55" s="1"/>
  <c r="AL183" i="55"/>
  <c r="AM183" i="55" s="1"/>
  <c r="AN183" i="55" s="1"/>
  <c r="AO183" i="55" s="1"/>
  <c r="AP183" i="55" s="1"/>
  <c r="P30" i="47"/>
  <c r="T203" i="55"/>
  <c r="Q31" i="47"/>
  <c r="U72" i="55"/>
  <c r="R41" i="47"/>
  <c r="V81" i="55"/>
  <c r="Q28" i="47"/>
  <c r="U200" i="55"/>
  <c r="P21" i="47"/>
  <c r="T194" i="55"/>
  <c r="T14" i="47"/>
  <c r="X138" i="55"/>
  <c r="Q53" i="47"/>
  <c r="U236" i="55"/>
  <c r="P61" i="47"/>
  <c r="T243" i="55"/>
  <c r="AL83" i="55"/>
  <c r="AM83" i="55" s="1"/>
  <c r="AN83" i="55" s="1"/>
  <c r="AO83" i="55" s="1"/>
  <c r="AP83" i="55" s="1"/>
  <c r="AL90" i="55"/>
  <c r="AM90" i="55" s="1"/>
  <c r="AN90" i="55" s="1"/>
  <c r="AO90" i="55" s="1"/>
  <c r="AP90" i="55" s="1"/>
  <c r="AL86" i="55"/>
  <c r="AM86" i="55" s="1"/>
  <c r="AN86" i="55" s="1"/>
  <c r="AO86" i="55" s="1"/>
  <c r="AP86" i="55" s="1"/>
  <c r="AL82" i="55"/>
  <c r="AM82" i="55" s="1"/>
  <c r="AN82" i="55" s="1"/>
  <c r="AO82" i="55" s="1"/>
  <c r="AP82" i="55" s="1"/>
  <c r="AL85" i="55"/>
  <c r="AM85" i="55" s="1"/>
  <c r="AN85" i="55" s="1"/>
  <c r="AO85" i="55" s="1"/>
  <c r="AP85" i="55" s="1"/>
  <c r="AL84" i="55"/>
  <c r="AM84" i="55" s="1"/>
  <c r="AN84" i="55" s="1"/>
  <c r="AO84" i="55" s="1"/>
  <c r="AP84" i="55" s="1"/>
  <c r="AL80" i="55"/>
  <c r="AM80" i="55" s="1"/>
  <c r="AN80" i="55" s="1"/>
  <c r="AO80" i="55" s="1"/>
  <c r="AP80" i="55" s="1"/>
  <c r="AL89" i="55"/>
  <c r="AM89" i="55" s="1"/>
  <c r="AN89" i="55" s="1"/>
  <c r="AO89" i="55" s="1"/>
  <c r="AP89" i="55" s="1"/>
  <c r="AL87" i="55"/>
  <c r="AM87" i="55" s="1"/>
  <c r="AN87" i="55" s="1"/>
  <c r="AO87" i="55" s="1"/>
  <c r="AP87" i="55" s="1"/>
  <c r="T13" i="47"/>
  <c r="X140" i="55"/>
  <c r="Q25" i="47"/>
  <c r="U197" i="55"/>
  <c r="P42" i="47"/>
  <c r="T156" i="55"/>
  <c r="AK204" i="55"/>
  <c r="AK206" i="55"/>
  <c r="AK202" i="55"/>
  <c r="AK207" i="55"/>
  <c r="AK205" i="55"/>
  <c r="AK208" i="55"/>
  <c r="P27" i="47"/>
  <c r="T195" i="55"/>
  <c r="P23" i="47"/>
  <c r="T201" i="55"/>
  <c r="P29" i="47"/>
  <c r="T198" i="55"/>
  <c r="T19" i="47"/>
  <c r="X144" i="55"/>
  <c r="Q58" i="47"/>
  <c r="U235" i="55"/>
  <c r="P24" i="47"/>
  <c r="T199" i="55"/>
  <c r="P22" i="47"/>
  <c r="T196" i="55"/>
  <c r="P59" i="47"/>
  <c r="T240" i="55"/>
  <c r="Q39" i="47"/>
  <c r="U76" i="55"/>
  <c r="T20" i="47"/>
  <c r="X151" i="55"/>
  <c r="T15" i="47"/>
  <c r="X134" i="55"/>
  <c r="AL168" i="55"/>
  <c r="AM168" i="55" s="1"/>
  <c r="AN168" i="55" s="1"/>
  <c r="AO168" i="55" s="1"/>
  <c r="AP168" i="55" s="1"/>
  <c r="AL170" i="55"/>
  <c r="AM170" i="55" s="1"/>
  <c r="AN170" i="55" s="1"/>
  <c r="AO170" i="55" s="1"/>
  <c r="AP170" i="55" s="1"/>
  <c r="AL169" i="55"/>
  <c r="AM169" i="55" s="1"/>
  <c r="AN169" i="55" s="1"/>
  <c r="AO169" i="55" s="1"/>
  <c r="AP169" i="55" s="1"/>
  <c r="AL172" i="55"/>
  <c r="AM172" i="55" s="1"/>
  <c r="AN172" i="55" s="1"/>
  <c r="AO172" i="55" s="1"/>
  <c r="AP172" i="55" s="1"/>
  <c r="AL164" i="55"/>
  <c r="AM164" i="55" s="1"/>
  <c r="AN164" i="55" s="1"/>
  <c r="AO164" i="55" s="1"/>
  <c r="AP164" i="55" s="1"/>
  <c r="AL166" i="55"/>
  <c r="AM166" i="55" s="1"/>
  <c r="AN166" i="55" s="1"/>
  <c r="AO166" i="55" s="1"/>
  <c r="AP166" i="55" s="1"/>
  <c r="AL167" i="55"/>
  <c r="AM167" i="55" s="1"/>
  <c r="AN167" i="55" s="1"/>
  <c r="AO167" i="55" s="1"/>
  <c r="AP167" i="55" s="1"/>
  <c r="AL171" i="55"/>
  <c r="AM171" i="55" s="1"/>
  <c r="AN171" i="55" s="1"/>
  <c r="AO171" i="55" s="1"/>
  <c r="AP171" i="55" s="1"/>
  <c r="X139" i="55" l="1"/>
  <c r="U18" i="47" s="1"/>
  <c r="W77" i="55"/>
  <c r="T34" i="47" s="1"/>
  <c r="S36" i="47"/>
  <c r="W73" i="55"/>
  <c r="T37" i="47" s="1"/>
  <c r="U157" i="55"/>
  <c r="R48" i="47" s="1"/>
  <c r="U159" i="55"/>
  <c r="R46" i="47" s="1"/>
  <c r="T16" i="47"/>
  <c r="X136" i="55"/>
  <c r="T11" i="47"/>
  <c r="X137" i="55"/>
  <c r="R32" i="47"/>
  <c r="V74" i="55"/>
  <c r="Q57" i="47"/>
  <c r="U162" i="55"/>
  <c r="Q49" i="47"/>
  <c r="Q47" i="47"/>
  <c r="U155" i="55"/>
  <c r="Q44" i="47"/>
  <c r="U163" i="55"/>
  <c r="Q45" i="47"/>
  <c r="U161" i="55"/>
  <c r="T10" i="47"/>
  <c r="X135" i="55"/>
  <c r="Q43" i="47"/>
  <c r="U158" i="55"/>
  <c r="Q50" i="47"/>
  <c r="U160" i="55"/>
  <c r="Q60" i="47"/>
  <c r="U238" i="55"/>
  <c r="S35" i="47"/>
  <c r="W75" i="55"/>
  <c r="Q56" i="47"/>
  <c r="U237" i="55"/>
  <c r="Q29" i="47"/>
  <c r="U198" i="55"/>
  <c r="AL205" i="55"/>
  <c r="AM205" i="55" s="1"/>
  <c r="AN205" i="55" s="1"/>
  <c r="AO205" i="55" s="1"/>
  <c r="AP205" i="55" s="1"/>
  <c r="AL204" i="55"/>
  <c r="AM204" i="55" s="1"/>
  <c r="AN204" i="55" s="1"/>
  <c r="AO204" i="55" s="1"/>
  <c r="AP204" i="55" s="1"/>
  <c r="AL207" i="55"/>
  <c r="AM207" i="55" s="1"/>
  <c r="AN207" i="55" s="1"/>
  <c r="AO207" i="55" s="1"/>
  <c r="AP207" i="55" s="1"/>
  <c r="AL202" i="55"/>
  <c r="AM202" i="55" s="1"/>
  <c r="AN202" i="55" s="1"/>
  <c r="AO202" i="55" s="1"/>
  <c r="AP202" i="55" s="1"/>
  <c r="AL206" i="55"/>
  <c r="AM206" i="55" s="1"/>
  <c r="AN206" i="55" s="1"/>
  <c r="AO206" i="55" s="1"/>
  <c r="AP206" i="55" s="1"/>
  <c r="AL208" i="55"/>
  <c r="AM208" i="55" s="1"/>
  <c r="AN208" i="55" s="1"/>
  <c r="AO208" i="55" s="1"/>
  <c r="AP208" i="55" s="1"/>
  <c r="R55" i="47"/>
  <c r="V239" i="55"/>
  <c r="S40" i="47"/>
  <c r="W88" i="55"/>
  <c r="Q22" i="47"/>
  <c r="U196" i="55"/>
  <c r="U20" i="47"/>
  <c r="Y151" i="55"/>
  <c r="Q24" i="47"/>
  <c r="U199" i="55"/>
  <c r="Q23" i="47"/>
  <c r="U201" i="55"/>
  <c r="Q21" i="47"/>
  <c r="U194" i="55"/>
  <c r="Q54" i="47"/>
  <c r="U241" i="55"/>
  <c r="R132" i="47"/>
  <c r="V253" i="55"/>
  <c r="R28" i="47"/>
  <c r="V200" i="55"/>
  <c r="AL250" i="55"/>
  <c r="AM250" i="55" s="1"/>
  <c r="AN250" i="55" s="1"/>
  <c r="AO250" i="55" s="1"/>
  <c r="AP250" i="55" s="1"/>
  <c r="AL244" i="55"/>
  <c r="AM244" i="55" s="1"/>
  <c r="AN244" i="55" s="1"/>
  <c r="AO244" i="55" s="1"/>
  <c r="AP244" i="55" s="1"/>
  <c r="AL252" i="55"/>
  <c r="AM252" i="55" s="1"/>
  <c r="AN252" i="55" s="1"/>
  <c r="AO252" i="55" s="1"/>
  <c r="AP252" i="55" s="1"/>
  <c r="AL248" i="55"/>
  <c r="AM248" i="55" s="1"/>
  <c r="AN248" i="55" s="1"/>
  <c r="AO248" i="55" s="1"/>
  <c r="AP248" i="55" s="1"/>
  <c r="AL232" i="55"/>
  <c r="AM232" i="55" s="1"/>
  <c r="AN232" i="55" s="1"/>
  <c r="AO232" i="55" s="1"/>
  <c r="AP232" i="55" s="1"/>
  <c r="AL249" i="55"/>
  <c r="AM249" i="55" s="1"/>
  <c r="AN249" i="55" s="1"/>
  <c r="AO249" i="55" s="1"/>
  <c r="AP249" i="55" s="1"/>
  <c r="AL242" i="55"/>
  <c r="AM242" i="55" s="1"/>
  <c r="AN242" i="55" s="1"/>
  <c r="AO242" i="55" s="1"/>
  <c r="AP242" i="55" s="1"/>
  <c r="AL247" i="55"/>
  <c r="AM247" i="55" s="1"/>
  <c r="AN247" i="55" s="1"/>
  <c r="AO247" i="55" s="1"/>
  <c r="AP247" i="55" s="1"/>
  <c r="AL246" i="55"/>
  <c r="AM246" i="55" s="1"/>
  <c r="AN246" i="55" s="1"/>
  <c r="AO246" i="55" s="1"/>
  <c r="AP246" i="55" s="1"/>
  <c r="AL245" i="55"/>
  <c r="AM245" i="55" s="1"/>
  <c r="AN245" i="55" s="1"/>
  <c r="AO245" i="55" s="1"/>
  <c r="AP245" i="55" s="1"/>
  <c r="AL231" i="55"/>
  <c r="AM231" i="55" s="1"/>
  <c r="AN231" i="55" s="1"/>
  <c r="AO231" i="55" s="1"/>
  <c r="AP231" i="55" s="1"/>
  <c r="AL251" i="55"/>
  <c r="AM251" i="55" s="1"/>
  <c r="AN251" i="55" s="1"/>
  <c r="AO251" i="55" s="1"/>
  <c r="AP251" i="55" s="1"/>
  <c r="AL148" i="55"/>
  <c r="AM148" i="55" s="1"/>
  <c r="AN148" i="55" s="1"/>
  <c r="AO148" i="55" s="1"/>
  <c r="AP148" i="55" s="1"/>
  <c r="AL145" i="55"/>
  <c r="AM145" i="55" s="1"/>
  <c r="AN145" i="55" s="1"/>
  <c r="AO145" i="55" s="1"/>
  <c r="AP145" i="55" s="1"/>
  <c r="AL153" i="55"/>
  <c r="AM153" i="55" s="1"/>
  <c r="AN153" i="55" s="1"/>
  <c r="AO153" i="55" s="1"/>
  <c r="AP153" i="55" s="1"/>
  <c r="AL147" i="55"/>
  <c r="AM147" i="55" s="1"/>
  <c r="AN147" i="55" s="1"/>
  <c r="AO147" i="55" s="1"/>
  <c r="AP147" i="55" s="1"/>
  <c r="AL150" i="55"/>
  <c r="AM150" i="55" s="1"/>
  <c r="AN150" i="55" s="1"/>
  <c r="AO150" i="55" s="1"/>
  <c r="AP150" i="55" s="1"/>
  <c r="AL146" i="55"/>
  <c r="AM146" i="55" s="1"/>
  <c r="AN146" i="55" s="1"/>
  <c r="AO146" i="55" s="1"/>
  <c r="AP146" i="55" s="1"/>
  <c r="AL149" i="55"/>
  <c r="AM149" i="55" s="1"/>
  <c r="AN149" i="55" s="1"/>
  <c r="AO149" i="55" s="1"/>
  <c r="AP149" i="55" s="1"/>
  <c r="AL143" i="55"/>
  <c r="AM143" i="55" s="1"/>
  <c r="AN143" i="55" s="1"/>
  <c r="AO143" i="55" s="1"/>
  <c r="AP143" i="55" s="1"/>
  <c r="AL152" i="55"/>
  <c r="AM152" i="55" s="1"/>
  <c r="AN152" i="55" s="1"/>
  <c r="AO152" i="55" s="1"/>
  <c r="AP152" i="55" s="1"/>
  <c r="Q27" i="47"/>
  <c r="U195" i="55"/>
  <c r="Q52" i="47"/>
  <c r="U234" i="55"/>
  <c r="V12" i="47"/>
  <c r="Z142" i="55"/>
  <c r="Q42" i="47"/>
  <c r="U156" i="55"/>
  <c r="R39" i="47"/>
  <c r="V76" i="55"/>
  <c r="R58" i="47"/>
  <c r="V235" i="55"/>
  <c r="R25" i="47"/>
  <c r="V197" i="55"/>
  <c r="S41" i="47"/>
  <c r="W81" i="55"/>
  <c r="R57" i="47"/>
  <c r="V233" i="55"/>
  <c r="Q26" i="47"/>
  <c r="U193" i="55"/>
  <c r="R51" i="47"/>
  <c r="V165" i="55"/>
  <c r="U15" i="47"/>
  <c r="Y134" i="55"/>
  <c r="T36" i="47"/>
  <c r="X71" i="55"/>
  <c r="U13" i="47"/>
  <c r="Y140" i="55"/>
  <c r="Q61" i="47"/>
  <c r="U243" i="55"/>
  <c r="R31" i="47"/>
  <c r="V72" i="55"/>
  <c r="AL217" i="55"/>
  <c r="AM217" i="55" s="1"/>
  <c r="AN217" i="55" s="1"/>
  <c r="AO217" i="55" s="1"/>
  <c r="AP217" i="55" s="1"/>
  <c r="AL213" i="55"/>
  <c r="AM213" i="55" s="1"/>
  <c r="AN213" i="55" s="1"/>
  <c r="AO213" i="55" s="1"/>
  <c r="AP213" i="55" s="1"/>
  <c r="AL219" i="55"/>
  <c r="AM219" i="55" s="1"/>
  <c r="AN219" i="55" s="1"/>
  <c r="AO219" i="55" s="1"/>
  <c r="AP219" i="55" s="1"/>
  <c r="AL223" i="55"/>
  <c r="AM223" i="55" s="1"/>
  <c r="AN223" i="55" s="1"/>
  <c r="AO223" i="55" s="1"/>
  <c r="AP223" i="55" s="1"/>
  <c r="AL212" i="55"/>
  <c r="AM212" i="55" s="1"/>
  <c r="AN212" i="55" s="1"/>
  <c r="AO212" i="55" s="1"/>
  <c r="AP212" i="55" s="1"/>
  <c r="AL216" i="55"/>
  <c r="AM216" i="55" s="1"/>
  <c r="AN216" i="55" s="1"/>
  <c r="AO216" i="55" s="1"/>
  <c r="AP216" i="55" s="1"/>
  <c r="AL228" i="55"/>
  <c r="AM228" i="55" s="1"/>
  <c r="AN228" i="55" s="1"/>
  <c r="AO228" i="55" s="1"/>
  <c r="AP228" i="55" s="1"/>
  <c r="AL229" i="55"/>
  <c r="AM229" i="55" s="1"/>
  <c r="AN229" i="55" s="1"/>
  <c r="AO229" i="55" s="1"/>
  <c r="AP229" i="55" s="1"/>
  <c r="AL221" i="55"/>
  <c r="AM221" i="55" s="1"/>
  <c r="AN221" i="55" s="1"/>
  <c r="AO221" i="55" s="1"/>
  <c r="AP221" i="55" s="1"/>
  <c r="AL226" i="55"/>
  <c r="AM226" i="55" s="1"/>
  <c r="AN226" i="55" s="1"/>
  <c r="AO226" i="55" s="1"/>
  <c r="AP226" i="55" s="1"/>
  <c r="AL220" i="55"/>
  <c r="AM220" i="55" s="1"/>
  <c r="AN220" i="55" s="1"/>
  <c r="AO220" i="55" s="1"/>
  <c r="AP220" i="55" s="1"/>
  <c r="AL215" i="55"/>
  <c r="AM215" i="55" s="1"/>
  <c r="AN215" i="55" s="1"/>
  <c r="AO215" i="55" s="1"/>
  <c r="AP215" i="55" s="1"/>
  <c r="AL225" i="55"/>
  <c r="AM225" i="55" s="1"/>
  <c r="AN225" i="55" s="1"/>
  <c r="AO225" i="55" s="1"/>
  <c r="AP225" i="55" s="1"/>
  <c r="AL214" i="55"/>
  <c r="AM214" i="55" s="1"/>
  <c r="AN214" i="55" s="1"/>
  <c r="AO214" i="55" s="1"/>
  <c r="AP214" i="55" s="1"/>
  <c r="AL222" i="55"/>
  <c r="AM222" i="55" s="1"/>
  <c r="AN222" i="55" s="1"/>
  <c r="AO222" i="55" s="1"/>
  <c r="AP222" i="55" s="1"/>
  <c r="AL224" i="55"/>
  <c r="AM224" i="55" s="1"/>
  <c r="AN224" i="55" s="1"/>
  <c r="AO224" i="55" s="1"/>
  <c r="AP224" i="55" s="1"/>
  <c r="AL227" i="55"/>
  <c r="AM227" i="55" s="1"/>
  <c r="AN227" i="55" s="1"/>
  <c r="AO227" i="55" s="1"/>
  <c r="AP227" i="55" s="1"/>
  <c r="AL218" i="55"/>
  <c r="AM218" i="55" s="1"/>
  <c r="AN218" i="55" s="1"/>
  <c r="AO218" i="55" s="1"/>
  <c r="AP218" i="55" s="1"/>
  <c r="S33" i="47"/>
  <c r="W79" i="55"/>
  <c r="S38" i="47"/>
  <c r="W78" i="55"/>
  <c r="U14" i="47"/>
  <c r="Y138" i="55"/>
  <c r="Q59" i="47"/>
  <c r="U240" i="55"/>
  <c r="U19" i="47"/>
  <c r="Y144" i="55"/>
  <c r="R53" i="47"/>
  <c r="V236" i="55"/>
  <c r="Q30" i="47"/>
  <c r="U203" i="55"/>
  <c r="V17" i="47"/>
  <c r="Z141" i="55"/>
  <c r="Y139" i="55" l="1"/>
  <c r="V18" i="47" s="1"/>
  <c r="X77" i="55"/>
  <c r="U34" i="47" s="1"/>
  <c r="X73" i="55"/>
  <c r="Y73" i="55" s="1"/>
  <c r="V157" i="55"/>
  <c r="W157" i="55" s="1"/>
  <c r="V159" i="55"/>
  <c r="S46" i="47" s="1"/>
  <c r="U16" i="47"/>
  <c r="Y136" i="55"/>
  <c r="U11" i="47"/>
  <c r="Y137" i="55"/>
  <c r="S32" i="47"/>
  <c r="W74" i="55"/>
  <c r="R47" i="47"/>
  <c r="V155" i="55"/>
  <c r="R49" i="47"/>
  <c r="V162" i="55"/>
  <c r="R44" i="47"/>
  <c r="V163" i="55"/>
  <c r="R45" i="47"/>
  <c r="V161" i="55"/>
  <c r="V158" i="55"/>
  <c r="R43" i="47"/>
  <c r="Y135" i="55"/>
  <c r="U10" i="47"/>
  <c r="V160" i="55"/>
  <c r="R50" i="47"/>
  <c r="T40" i="47"/>
  <c r="X88" i="55"/>
  <c r="S28" i="47"/>
  <c r="W200" i="55"/>
  <c r="R23" i="47"/>
  <c r="V201" i="55"/>
  <c r="S55" i="47"/>
  <c r="W239" i="55"/>
  <c r="S53" i="47"/>
  <c r="W236" i="55"/>
  <c r="T38" i="47"/>
  <c r="X78" i="55"/>
  <c r="V13" i="47"/>
  <c r="Z140" i="55"/>
  <c r="T41" i="47"/>
  <c r="X81" i="55"/>
  <c r="R42" i="47"/>
  <c r="V156" i="55"/>
  <c r="R27" i="47"/>
  <c r="V195" i="55"/>
  <c r="R24" i="47"/>
  <c r="V199" i="55"/>
  <c r="U36" i="47"/>
  <c r="Y71" i="55"/>
  <c r="V20" i="47"/>
  <c r="Z151" i="55"/>
  <c r="R56" i="47"/>
  <c r="V237" i="55"/>
  <c r="R61" i="47"/>
  <c r="V243" i="55"/>
  <c r="S25" i="47"/>
  <c r="W197" i="55"/>
  <c r="T33" i="47"/>
  <c r="X79" i="55"/>
  <c r="V15" i="47"/>
  <c r="Z134" i="55"/>
  <c r="S58" i="47"/>
  <c r="W235" i="55"/>
  <c r="S57" i="47"/>
  <c r="W233" i="55"/>
  <c r="S132" i="47"/>
  <c r="W253" i="55"/>
  <c r="R22" i="47"/>
  <c r="V196" i="55"/>
  <c r="R29" i="47"/>
  <c r="V198" i="55"/>
  <c r="T35" i="47"/>
  <c r="X75" i="55"/>
  <c r="R30" i="47"/>
  <c r="V203" i="55"/>
  <c r="V19" i="47"/>
  <c r="Z144" i="55"/>
  <c r="S39" i="47"/>
  <c r="W76" i="55"/>
  <c r="V14" i="47"/>
  <c r="Z138" i="55"/>
  <c r="R52" i="47"/>
  <c r="V234" i="55"/>
  <c r="R54" i="47"/>
  <c r="V241" i="55"/>
  <c r="R21" i="47"/>
  <c r="V194" i="55"/>
  <c r="R60" i="47"/>
  <c r="V238" i="55"/>
  <c r="S51" i="47"/>
  <c r="W165" i="55"/>
  <c r="W17" i="47"/>
  <c r="AA141" i="55"/>
  <c r="R59" i="47"/>
  <c r="V240" i="55"/>
  <c r="S31" i="47"/>
  <c r="W72" i="55"/>
  <c r="R26" i="47"/>
  <c r="V193" i="55"/>
  <c r="W12" i="47"/>
  <c r="AA142" i="55"/>
  <c r="Y77" i="55" l="1"/>
  <c r="Z77" i="55" s="1"/>
  <c r="Z139" i="55"/>
  <c r="W18" i="47" s="1"/>
  <c r="U37" i="47"/>
  <c r="S48" i="47"/>
  <c r="W159" i="55"/>
  <c r="T46" i="47" s="1"/>
  <c r="V16" i="47"/>
  <c r="Z136" i="55"/>
  <c r="V11" i="47"/>
  <c r="Z137" i="55"/>
  <c r="T32" i="47"/>
  <c r="X74" i="55"/>
  <c r="W162" i="55"/>
  <c r="S49" i="47"/>
  <c r="W155" i="55"/>
  <c r="S47" i="47"/>
  <c r="W163" i="55"/>
  <c r="S44" i="47"/>
  <c r="S45" i="47"/>
  <c r="W161" i="55"/>
  <c r="Z135" i="55"/>
  <c r="V10" i="47"/>
  <c r="S43" i="47"/>
  <c r="W158" i="55"/>
  <c r="S50" i="47"/>
  <c r="W160" i="55"/>
  <c r="S59" i="47"/>
  <c r="W240" i="55"/>
  <c r="U35" i="47"/>
  <c r="Y75" i="55"/>
  <c r="T58" i="47"/>
  <c r="X235" i="55"/>
  <c r="S56" i="47"/>
  <c r="W237" i="55"/>
  <c r="S27" i="47"/>
  <c r="W195" i="55"/>
  <c r="V37" i="47"/>
  <c r="Z73" i="55"/>
  <c r="T39" i="47"/>
  <c r="X76" i="55"/>
  <c r="W15" i="47"/>
  <c r="AA134" i="55"/>
  <c r="W20" i="47"/>
  <c r="AA151" i="55"/>
  <c r="S42" i="47"/>
  <c r="W156" i="55"/>
  <c r="T55" i="47"/>
  <c r="X239" i="55"/>
  <c r="S29" i="47"/>
  <c r="W198" i="55"/>
  <c r="S54" i="47"/>
  <c r="W241" i="55"/>
  <c r="T48" i="47"/>
  <c r="X157" i="55"/>
  <c r="S22" i="47"/>
  <c r="W196" i="55"/>
  <c r="U33" i="47"/>
  <c r="Y79" i="55"/>
  <c r="U41" i="47"/>
  <c r="Y81" i="55"/>
  <c r="S23" i="47"/>
  <c r="W201" i="55"/>
  <c r="S26" i="47"/>
  <c r="W193" i="55"/>
  <c r="W19" i="47"/>
  <c r="AA144" i="55"/>
  <c r="T132" i="47"/>
  <c r="X253" i="55"/>
  <c r="W13" i="47"/>
  <c r="AA140" i="55"/>
  <c r="T28" i="47"/>
  <c r="X200" i="55"/>
  <c r="X17" i="47"/>
  <c r="AB141" i="55"/>
  <c r="T31" i="47"/>
  <c r="X72" i="55"/>
  <c r="S52" i="47"/>
  <c r="W234" i="55"/>
  <c r="T57" i="47"/>
  <c r="X233" i="55"/>
  <c r="T25" i="47"/>
  <c r="X197" i="55"/>
  <c r="V36" i="47"/>
  <c r="Z71" i="55"/>
  <c r="U38" i="47"/>
  <c r="Y78" i="55"/>
  <c r="U40" i="47"/>
  <c r="Y88" i="55"/>
  <c r="X12" i="47"/>
  <c r="AB142" i="55"/>
  <c r="T51" i="47"/>
  <c r="X165" i="55"/>
  <c r="S60" i="47"/>
  <c r="W238" i="55"/>
  <c r="W14" i="47"/>
  <c r="AA138" i="55"/>
  <c r="S30" i="47"/>
  <c r="W203" i="55"/>
  <c r="S61" i="47"/>
  <c r="W243" i="55"/>
  <c r="S24" i="47"/>
  <c r="W199" i="55"/>
  <c r="T53" i="47"/>
  <c r="X236" i="55"/>
  <c r="S21" i="47"/>
  <c r="W194" i="55"/>
  <c r="V34" i="47" l="1"/>
  <c r="AA139" i="55"/>
  <c r="AB139" i="55" s="1"/>
  <c r="X159" i="55"/>
  <c r="Y159" i="55" s="1"/>
  <c r="W16" i="47"/>
  <c r="AA136" i="55"/>
  <c r="W11" i="47"/>
  <c r="AA137" i="55"/>
  <c r="Y74" i="55"/>
  <c r="U32" i="47"/>
  <c r="T47" i="47"/>
  <c r="X155" i="55"/>
  <c r="T49" i="47"/>
  <c r="X162" i="55"/>
  <c r="X163" i="55"/>
  <c r="T44" i="47"/>
  <c r="T45" i="47"/>
  <c r="X161" i="55"/>
  <c r="T43" i="47"/>
  <c r="X158" i="55"/>
  <c r="W10" i="47"/>
  <c r="AA135" i="55"/>
  <c r="T50" i="47"/>
  <c r="X160" i="55"/>
  <c r="T61" i="47"/>
  <c r="X243" i="55"/>
  <c r="U51" i="47"/>
  <c r="Y165" i="55"/>
  <c r="U57" i="47"/>
  <c r="Y233" i="55"/>
  <c r="U28" i="47"/>
  <c r="Y200" i="55"/>
  <c r="V33" i="47"/>
  <c r="Z79" i="55"/>
  <c r="T42" i="47"/>
  <c r="X156" i="55"/>
  <c r="T56" i="47"/>
  <c r="X237" i="55"/>
  <c r="T22" i="47"/>
  <c r="X196" i="55"/>
  <c r="X20" i="47"/>
  <c r="AB151" i="55"/>
  <c r="U58" i="47"/>
  <c r="Y235" i="55"/>
  <c r="X13" i="47"/>
  <c r="AB140" i="55"/>
  <c r="V40" i="47"/>
  <c r="Z88" i="55"/>
  <c r="T52" i="47"/>
  <c r="X234" i="55"/>
  <c r="T26" i="47"/>
  <c r="X193" i="55"/>
  <c r="U48" i="47"/>
  <c r="Y157" i="55"/>
  <c r="X15" i="47"/>
  <c r="AB134" i="55"/>
  <c r="V35" i="47"/>
  <c r="Z75" i="55"/>
  <c r="X14" i="47"/>
  <c r="AB138" i="55"/>
  <c r="V38" i="47"/>
  <c r="Z78" i="55"/>
  <c r="W34" i="47"/>
  <c r="AA77" i="55"/>
  <c r="T23" i="47"/>
  <c r="X201" i="55"/>
  <c r="T54" i="47"/>
  <c r="X241" i="55"/>
  <c r="U39" i="47"/>
  <c r="Y76" i="55"/>
  <c r="T21" i="47"/>
  <c r="X194" i="55"/>
  <c r="U53" i="47"/>
  <c r="Y236" i="55"/>
  <c r="T60" i="47"/>
  <c r="X238" i="55"/>
  <c r="W36" i="47"/>
  <c r="AA71" i="55"/>
  <c r="U31" i="47"/>
  <c r="Y72" i="55"/>
  <c r="U132" i="47"/>
  <c r="Y253" i="55"/>
  <c r="V41" i="47"/>
  <c r="Z81" i="55"/>
  <c r="T29" i="47"/>
  <c r="X198" i="55"/>
  <c r="W37" i="47"/>
  <c r="AA73" i="55"/>
  <c r="T24" i="47"/>
  <c r="X199" i="55"/>
  <c r="U25" i="47"/>
  <c r="Y197" i="55"/>
  <c r="Y17" i="47"/>
  <c r="AC141" i="55"/>
  <c r="X19" i="47"/>
  <c r="AB144" i="55"/>
  <c r="U55" i="47"/>
  <c r="Y239" i="55"/>
  <c r="T27" i="47"/>
  <c r="X195" i="55"/>
  <c r="T59" i="47"/>
  <c r="X240" i="55"/>
  <c r="Y12" i="47"/>
  <c r="AC142" i="55"/>
  <c r="T30" i="47"/>
  <c r="X203" i="55"/>
  <c r="X18" i="47" l="1"/>
  <c r="U46" i="47"/>
  <c r="X16" i="47"/>
  <c r="AB136" i="55"/>
  <c r="AB137" i="55"/>
  <c r="X11" i="47"/>
  <c r="V32" i="47"/>
  <c r="Z74" i="55"/>
  <c r="U49" i="47"/>
  <c r="Y162" i="55"/>
  <c r="U47" i="47"/>
  <c r="Y155" i="55"/>
  <c r="U44" i="47"/>
  <c r="Y163" i="55"/>
  <c r="U45" i="47"/>
  <c r="Y161" i="55"/>
  <c r="X10" i="47"/>
  <c r="AB135" i="55"/>
  <c r="Y158" i="55"/>
  <c r="U43" i="47"/>
  <c r="U50" i="47"/>
  <c r="Y160" i="55"/>
  <c r="Y14" i="47"/>
  <c r="AC138" i="55"/>
  <c r="U30" i="47"/>
  <c r="Y203" i="55"/>
  <c r="Y19" i="47"/>
  <c r="AC144" i="55"/>
  <c r="X37" i="47"/>
  <c r="AB73" i="55"/>
  <c r="U60" i="47"/>
  <c r="Y238" i="55"/>
  <c r="U54" i="47"/>
  <c r="Y241" i="55"/>
  <c r="U22" i="47"/>
  <c r="Y196" i="55"/>
  <c r="V39" i="47"/>
  <c r="Z76" i="55"/>
  <c r="Z12" i="47"/>
  <c r="AD142" i="55"/>
  <c r="Z17" i="47"/>
  <c r="AD141" i="55"/>
  <c r="U29" i="47"/>
  <c r="Y198" i="55"/>
  <c r="V53" i="47"/>
  <c r="Z236" i="55"/>
  <c r="U23" i="47"/>
  <c r="Y201" i="55"/>
  <c r="U52" i="47"/>
  <c r="Y234" i="55"/>
  <c r="V28" i="47"/>
  <c r="Z200" i="55"/>
  <c r="U59" i="47"/>
  <c r="Y240" i="55"/>
  <c r="V25" i="47"/>
  <c r="Z197" i="55"/>
  <c r="W41" i="47"/>
  <c r="AA81" i="55"/>
  <c r="U21" i="47"/>
  <c r="Y194" i="55"/>
  <c r="X34" i="47"/>
  <c r="AB77" i="55"/>
  <c r="W35" i="47"/>
  <c r="AA75" i="55"/>
  <c r="W40" i="47"/>
  <c r="AA88" i="55"/>
  <c r="V57" i="47"/>
  <c r="Z233" i="55"/>
  <c r="U26" i="47"/>
  <c r="Y193" i="55"/>
  <c r="W33" i="47"/>
  <c r="AA79" i="55"/>
  <c r="U27" i="47"/>
  <c r="Y195" i="55"/>
  <c r="V46" i="47"/>
  <c r="Z159" i="55"/>
  <c r="V132" i="47"/>
  <c r="Z253" i="55"/>
  <c r="Y15" i="47"/>
  <c r="AC134" i="55"/>
  <c r="Y13" i="47"/>
  <c r="AC140" i="55"/>
  <c r="U56" i="47"/>
  <c r="Y237" i="55"/>
  <c r="V51" i="47"/>
  <c r="Z165" i="55"/>
  <c r="X36" i="47"/>
  <c r="AB71" i="55"/>
  <c r="Y20" i="47"/>
  <c r="AC151" i="55"/>
  <c r="V55" i="47"/>
  <c r="Z239" i="55"/>
  <c r="U24" i="47"/>
  <c r="Y199" i="55"/>
  <c r="V31" i="47"/>
  <c r="Z72" i="55"/>
  <c r="Y18" i="47"/>
  <c r="AC139" i="55"/>
  <c r="W38" i="47"/>
  <c r="AA78" i="55"/>
  <c r="V48" i="47"/>
  <c r="Z157" i="55"/>
  <c r="V58" i="47"/>
  <c r="Z235" i="55"/>
  <c r="U42" i="47"/>
  <c r="Y156" i="55"/>
  <c r="U61" i="47"/>
  <c r="Y243" i="55"/>
  <c r="Y16" i="47" l="1"/>
  <c r="AC136" i="55"/>
  <c r="Y11" i="47"/>
  <c r="AC137" i="55"/>
  <c r="W32" i="47"/>
  <c r="AA74" i="55"/>
  <c r="V47" i="47"/>
  <c r="Z155" i="55"/>
  <c r="V49" i="47"/>
  <c r="Z162" i="55"/>
  <c r="V44" i="47"/>
  <c r="Z163" i="55"/>
  <c r="V45" i="47"/>
  <c r="Z161" i="55"/>
  <c r="V43" i="47"/>
  <c r="Z158" i="55"/>
  <c r="Y10" i="47"/>
  <c r="AC135" i="55"/>
  <c r="V50" i="47"/>
  <c r="Z160" i="55"/>
  <c r="Z18" i="47"/>
  <c r="AD139" i="55"/>
  <c r="V54" i="47"/>
  <c r="Z241" i="55"/>
  <c r="V61" i="47"/>
  <c r="Z243" i="55"/>
  <c r="W31" i="47"/>
  <c r="AA72" i="55"/>
  <c r="W51" i="47"/>
  <c r="AA165" i="55"/>
  <c r="W132" i="47"/>
  <c r="AA253" i="55"/>
  <c r="W25" i="47"/>
  <c r="AA197" i="55"/>
  <c r="W39" i="47"/>
  <c r="AA76" i="55"/>
  <c r="V60" i="47"/>
  <c r="Z238" i="55"/>
  <c r="W57" i="47"/>
  <c r="AA233" i="55"/>
  <c r="V24" i="47"/>
  <c r="Z199" i="55"/>
  <c r="V56" i="47"/>
  <c r="Z237" i="55"/>
  <c r="W46" i="47"/>
  <c r="AA159" i="55"/>
  <c r="X40" i="47"/>
  <c r="AB88" i="55"/>
  <c r="V59" i="47"/>
  <c r="Z240" i="55"/>
  <c r="V23" i="47"/>
  <c r="Z201" i="55"/>
  <c r="Y37" i="47"/>
  <c r="AC73" i="55"/>
  <c r="V52" i="47"/>
  <c r="Z234" i="55"/>
  <c r="W58" i="47"/>
  <c r="AA235" i="55"/>
  <c r="W55" i="47"/>
  <c r="AA239" i="55"/>
  <c r="Z13" i="47"/>
  <c r="AD140" i="55"/>
  <c r="V27" i="47"/>
  <c r="Z195" i="55"/>
  <c r="X35" i="47"/>
  <c r="AB75" i="55"/>
  <c r="W53" i="47"/>
  <c r="AA236" i="55"/>
  <c r="V22" i="47"/>
  <c r="Z196" i="55"/>
  <c r="Z19" i="47"/>
  <c r="AD144" i="55"/>
  <c r="AA12" i="47"/>
  <c r="AE142" i="55"/>
  <c r="V42" i="47"/>
  <c r="Z156" i="55"/>
  <c r="V30" i="47"/>
  <c r="Z203" i="55"/>
  <c r="Y36" i="47"/>
  <c r="AC71" i="55"/>
  <c r="Z20" i="47"/>
  <c r="AD151" i="55"/>
  <c r="W28" i="47"/>
  <c r="AA200" i="55"/>
  <c r="W48" i="47"/>
  <c r="AA157" i="55"/>
  <c r="Z15" i="47"/>
  <c r="AD134" i="55"/>
  <c r="Y34" i="47"/>
  <c r="AC77" i="55"/>
  <c r="V29" i="47"/>
  <c r="Z198" i="55"/>
  <c r="X38" i="47"/>
  <c r="AB78" i="55"/>
  <c r="V26" i="47"/>
  <c r="Z193" i="55"/>
  <c r="V21" i="47"/>
  <c r="Z194" i="55"/>
  <c r="AA17" i="47"/>
  <c r="AE141" i="55"/>
  <c r="Z14" i="47"/>
  <c r="AD138" i="55"/>
  <c r="X41" i="47"/>
  <c r="AB81" i="55"/>
  <c r="X33" i="47"/>
  <c r="AB79" i="55"/>
  <c r="Z16" i="47" l="1"/>
  <c r="AD136" i="55"/>
  <c r="Z11" i="47"/>
  <c r="AD137" i="55"/>
  <c r="X32" i="47"/>
  <c r="AB74" i="55"/>
  <c r="W49" i="47"/>
  <c r="AA162" i="55"/>
  <c r="W47" i="47"/>
  <c r="AA155" i="55"/>
  <c r="AA163" i="55"/>
  <c r="W44" i="47"/>
  <c r="W45" i="47"/>
  <c r="AA161" i="55"/>
  <c r="AD135" i="55"/>
  <c r="Z10" i="47"/>
  <c r="W43" i="47"/>
  <c r="AA158" i="55"/>
  <c r="W50" i="47"/>
  <c r="AA160" i="55"/>
  <c r="W29" i="47"/>
  <c r="AA198" i="55"/>
  <c r="Z36" i="47"/>
  <c r="AD71" i="55"/>
  <c r="W22" i="47"/>
  <c r="AA196" i="55"/>
  <c r="X55" i="47"/>
  <c r="AB239" i="55"/>
  <c r="W23" i="47"/>
  <c r="AA201" i="55"/>
  <c r="X57" i="47"/>
  <c r="AB233" i="55"/>
  <c r="X132" i="47"/>
  <c r="AB253" i="55"/>
  <c r="Z34" i="47"/>
  <c r="AD77" i="55"/>
  <c r="W26" i="47"/>
  <c r="AA193" i="55"/>
  <c r="AA15" i="47"/>
  <c r="AE134" i="55"/>
  <c r="W52" i="47"/>
  <c r="AA234" i="55"/>
  <c r="Y40" i="47"/>
  <c r="AC88" i="55"/>
  <c r="X39" i="47"/>
  <c r="AB76" i="55"/>
  <c r="X31" i="47"/>
  <c r="AB72" i="55"/>
  <c r="W59" i="47"/>
  <c r="AA240" i="55"/>
  <c r="W30" i="47"/>
  <c r="AA203" i="55"/>
  <c r="AA14" i="47"/>
  <c r="AE138" i="55"/>
  <c r="X48" i="47"/>
  <c r="AB157" i="55"/>
  <c r="W42" i="47"/>
  <c r="AA156" i="55"/>
  <c r="Y35" i="47"/>
  <c r="AC75" i="55"/>
  <c r="X46" i="47"/>
  <c r="AB159" i="55"/>
  <c r="W61" i="47"/>
  <c r="AA243" i="55"/>
  <c r="X53" i="47"/>
  <c r="AB236" i="55"/>
  <c r="X28" i="47"/>
  <c r="AB200" i="55"/>
  <c r="AB12" i="47"/>
  <c r="AF142" i="55"/>
  <c r="W27" i="47"/>
  <c r="AA195" i="55"/>
  <c r="Z37" i="47"/>
  <c r="AD73" i="55"/>
  <c r="W56" i="47"/>
  <c r="AA237" i="55"/>
  <c r="X25" i="47"/>
  <c r="AB197" i="55"/>
  <c r="W54" i="47"/>
  <c r="AA241" i="55"/>
  <c r="W21" i="47"/>
  <c r="AA194" i="55"/>
  <c r="X51" i="47"/>
  <c r="AB165" i="55"/>
  <c r="Y41" i="47"/>
  <c r="AC81" i="55"/>
  <c r="Y33" i="47"/>
  <c r="AC79" i="55"/>
  <c r="X58" i="47"/>
  <c r="AB235" i="55"/>
  <c r="AB17" i="47"/>
  <c r="AF141" i="55"/>
  <c r="Y38" i="47"/>
  <c r="AC78" i="55"/>
  <c r="AA20" i="47"/>
  <c r="AE151" i="55"/>
  <c r="AA19" i="47"/>
  <c r="AE144" i="55"/>
  <c r="AA13" i="47"/>
  <c r="AE140" i="55"/>
  <c r="W24" i="47"/>
  <c r="AA199" i="55"/>
  <c r="AA18" i="47"/>
  <c r="AE139" i="55"/>
  <c r="W60" i="47"/>
  <c r="AA238" i="55"/>
  <c r="AE136" i="55" l="1"/>
  <c r="AA16" i="47"/>
  <c r="AA11" i="47"/>
  <c r="AE137" i="55"/>
  <c r="Y32" i="47"/>
  <c r="AC74" i="55"/>
  <c r="X47" i="47"/>
  <c r="AB155" i="55"/>
  <c r="X49" i="47"/>
  <c r="AB162" i="55"/>
  <c r="X44" i="47"/>
  <c r="AB163" i="55"/>
  <c r="X45" i="47"/>
  <c r="AB161" i="55"/>
  <c r="AB158" i="55"/>
  <c r="X43" i="47"/>
  <c r="AA10" i="47"/>
  <c r="AE135" i="55"/>
  <c r="X50" i="47"/>
  <c r="AB160" i="55"/>
  <c r="AB13" i="47"/>
  <c r="AF140" i="55"/>
  <c r="Z33" i="47"/>
  <c r="AD79" i="55"/>
  <c r="X56" i="47"/>
  <c r="AB237" i="55"/>
  <c r="Z35" i="47"/>
  <c r="AD75" i="55"/>
  <c r="X59" i="47"/>
  <c r="AB240" i="55"/>
  <c r="X23" i="47"/>
  <c r="AB201" i="55"/>
  <c r="X60" i="47"/>
  <c r="AB238" i="55"/>
  <c r="AB19" i="47"/>
  <c r="AF144" i="55"/>
  <c r="Z41" i="47"/>
  <c r="AD81" i="55"/>
  <c r="AA37" i="47"/>
  <c r="AE73" i="55"/>
  <c r="Y53" i="47"/>
  <c r="AC236" i="55"/>
  <c r="X42" i="47"/>
  <c r="AB156" i="55"/>
  <c r="Y31" i="47"/>
  <c r="AC72" i="55"/>
  <c r="AB15" i="47"/>
  <c r="AF134" i="55"/>
  <c r="Y55" i="47"/>
  <c r="AC239" i="55"/>
  <c r="AB20" i="47"/>
  <c r="AF151" i="55"/>
  <c r="X61" i="47"/>
  <c r="AB243" i="55"/>
  <c r="Y48" i="47"/>
  <c r="AC157" i="55"/>
  <c r="Y39" i="47"/>
  <c r="AC76" i="55"/>
  <c r="X26" i="47"/>
  <c r="AB193" i="55"/>
  <c r="X22" i="47"/>
  <c r="AB196" i="55"/>
  <c r="Z38" i="47"/>
  <c r="AD78" i="55"/>
  <c r="X21" i="47"/>
  <c r="AB194" i="55"/>
  <c r="AC12" i="47"/>
  <c r="AG142" i="55"/>
  <c r="Z40" i="47"/>
  <c r="AD88" i="55"/>
  <c r="AA34" i="47"/>
  <c r="AE77" i="55"/>
  <c r="AA36" i="47"/>
  <c r="AE71" i="55"/>
  <c r="Y51" i="47"/>
  <c r="AC165" i="55"/>
  <c r="AC17" i="47"/>
  <c r="AG141" i="55"/>
  <c r="X54" i="47"/>
  <c r="AB241" i="55"/>
  <c r="Y28" i="47"/>
  <c r="AC200" i="55"/>
  <c r="Y46" i="47"/>
  <c r="AC159" i="55"/>
  <c r="AB14" i="47"/>
  <c r="AF138" i="55"/>
  <c r="X52" i="47"/>
  <c r="AB234" i="55"/>
  <c r="Y132" i="47"/>
  <c r="AC253" i="55"/>
  <c r="X29" i="47"/>
  <c r="AB198" i="55"/>
  <c r="AB18" i="47"/>
  <c r="AF139" i="55"/>
  <c r="X27" i="47"/>
  <c r="AB195" i="55"/>
  <c r="Y58" i="47"/>
  <c r="AC235" i="55"/>
  <c r="Y25" i="47"/>
  <c r="AC197" i="55"/>
  <c r="X30" i="47"/>
  <c r="AB203" i="55"/>
  <c r="Y57" i="47"/>
  <c r="AC233" i="55"/>
  <c r="X24" i="47"/>
  <c r="AB199" i="55"/>
  <c r="AF136" i="55" l="1"/>
  <c r="AB16" i="47"/>
  <c r="AB11" i="47"/>
  <c r="AF137" i="55"/>
  <c r="Z32" i="47"/>
  <c r="AD74" i="55"/>
  <c r="AC162" i="55"/>
  <c r="Y49" i="47"/>
  <c r="Y47" i="47"/>
  <c r="AC155" i="55"/>
  <c r="Y44" i="47"/>
  <c r="AC163" i="55"/>
  <c r="Y45" i="47"/>
  <c r="AC161" i="55"/>
  <c r="AB10" i="47"/>
  <c r="AF135" i="55"/>
  <c r="Y43" i="47"/>
  <c r="AC158" i="55"/>
  <c r="Y50" i="47"/>
  <c r="AC160" i="55"/>
  <c r="AC20" i="47"/>
  <c r="AG151" i="55"/>
  <c r="AC18" i="47"/>
  <c r="AG139" i="55"/>
  <c r="Z28" i="47"/>
  <c r="AD200" i="55"/>
  <c r="Y24" i="47"/>
  <c r="AC199" i="55"/>
  <c r="Y29" i="47"/>
  <c r="AC198" i="55"/>
  <c r="Y54" i="47"/>
  <c r="AC241" i="55"/>
  <c r="Y22" i="47"/>
  <c r="AC196" i="55"/>
  <c r="Z55" i="47"/>
  <c r="AD239" i="55"/>
  <c r="AA41" i="47"/>
  <c r="AE81" i="55"/>
  <c r="AA35" i="47"/>
  <c r="AE75" i="55"/>
  <c r="Z25" i="47"/>
  <c r="AD197" i="55"/>
  <c r="Z132" i="47"/>
  <c r="AD253" i="55"/>
  <c r="AD17" i="47"/>
  <c r="AH141" i="55"/>
  <c r="Y26" i="47"/>
  <c r="AC193" i="55"/>
  <c r="AC15" i="47"/>
  <c r="AG134" i="55"/>
  <c r="AC19" i="47"/>
  <c r="AG144" i="55"/>
  <c r="AA40" i="47"/>
  <c r="AE88" i="55"/>
  <c r="AB37" i="47"/>
  <c r="AF73" i="55"/>
  <c r="Z57" i="47"/>
  <c r="AD233" i="55"/>
  <c r="Z58" i="47"/>
  <c r="AD235" i="55"/>
  <c r="Y52" i="47"/>
  <c r="AC234" i="55"/>
  <c r="Z51" i="47"/>
  <c r="AD165" i="55"/>
  <c r="AD12" i="47"/>
  <c r="AH142" i="55"/>
  <c r="Z39" i="47"/>
  <c r="AD76" i="55"/>
  <c r="Z31" i="47"/>
  <c r="AD72" i="55"/>
  <c r="Y60" i="47"/>
  <c r="AC238" i="55"/>
  <c r="Y56" i="47"/>
  <c r="AC237" i="55"/>
  <c r="Y59" i="47"/>
  <c r="AC240" i="55"/>
  <c r="AC14" i="47"/>
  <c r="AG138" i="55"/>
  <c r="AB36" i="47"/>
  <c r="AF71" i="55"/>
  <c r="Y21" i="47"/>
  <c r="AC194" i="55"/>
  <c r="Z48" i="47"/>
  <c r="AD157" i="55"/>
  <c r="Y42" i="47"/>
  <c r="AC156" i="55"/>
  <c r="Y23" i="47"/>
  <c r="AC201" i="55"/>
  <c r="AA33" i="47"/>
  <c r="AE79" i="55"/>
  <c r="Y30" i="47"/>
  <c r="AC203" i="55"/>
  <c r="Y27" i="47"/>
  <c r="AC195" i="55"/>
  <c r="Z46" i="47"/>
  <c r="AD159" i="55"/>
  <c r="AB34" i="47"/>
  <c r="AF77" i="55"/>
  <c r="AA38" i="47"/>
  <c r="AE78" i="55"/>
  <c r="Y61" i="47"/>
  <c r="AC243" i="55"/>
  <c r="Z53" i="47"/>
  <c r="AD236" i="55"/>
  <c r="AC13" i="47"/>
  <c r="AG140" i="55"/>
  <c r="AC16" i="47" l="1"/>
  <c r="AG136" i="55"/>
  <c r="AC11" i="47"/>
  <c r="AG137" i="55"/>
  <c r="AE74" i="55"/>
  <c r="AA32" i="47"/>
  <c r="Z47" i="47"/>
  <c r="AD155" i="55"/>
  <c r="Z49" i="47"/>
  <c r="AD162" i="55"/>
  <c r="Z44" i="47"/>
  <c r="AD163" i="55"/>
  <c r="Z45" i="47"/>
  <c r="AD161" i="55"/>
  <c r="Z43" i="47"/>
  <c r="AD158" i="55"/>
  <c r="AC10" i="47"/>
  <c r="AG135" i="55"/>
  <c r="Z50" i="47"/>
  <c r="AD160" i="55"/>
  <c r="AC34" i="47"/>
  <c r="AG77" i="55"/>
  <c r="AC36" i="47"/>
  <c r="AG71" i="55"/>
  <c r="Z60" i="47"/>
  <c r="AD238" i="55"/>
  <c r="AA58" i="47"/>
  <c r="AE235" i="55"/>
  <c r="AD15" i="47"/>
  <c r="AH134" i="55"/>
  <c r="Z54" i="47"/>
  <c r="AD241" i="55"/>
  <c r="AB33" i="47"/>
  <c r="AF79" i="55"/>
  <c r="AD14" i="47"/>
  <c r="AH138" i="55"/>
  <c r="AA31" i="47"/>
  <c r="AE72" i="55"/>
  <c r="AA57" i="47"/>
  <c r="AE233" i="55"/>
  <c r="Z26" i="47"/>
  <c r="AD193" i="55"/>
  <c r="AB35" i="47"/>
  <c r="AF75" i="55"/>
  <c r="Z29" i="47"/>
  <c r="AD198" i="55"/>
  <c r="AA39" i="47"/>
  <c r="AE76" i="55"/>
  <c r="AB41" i="47"/>
  <c r="AF81" i="55"/>
  <c r="Z24" i="47"/>
  <c r="AD199" i="55"/>
  <c r="Z23" i="47"/>
  <c r="AD201" i="55"/>
  <c r="Z27" i="47"/>
  <c r="AD195" i="55"/>
  <c r="AA53" i="47"/>
  <c r="AE236" i="55"/>
  <c r="Z30" i="47"/>
  <c r="AD203" i="55"/>
  <c r="Z42" i="47"/>
  <c r="AD156" i="55"/>
  <c r="AE12" i="47"/>
  <c r="AI142" i="55"/>
  <c r="AB40" i="47"/>
  <c r="AF88" i="55"/>
  <c r="AE17" i="47"/>
  <c r="AI141" i="55"/>
  <c r="AA55" i="47"/>
  <c r="AE239" i="55"/>
  <c r="AA28" i="47"/>
  <c r="AE200" i="55"/>
  <c r="AA46" i="47"/>
  <c r="AE159" i="55"/>
  <c r="Z61" i="47"/>
  <c r="AD243" i="55"/>
  <c r="AA48" i="47"/>
  <c r="AE157" i="55"/>
  <c r="Z59" i="47"/>
  <c r="AD240" i="55"/>
  <c r="AA51" i="47"/>
  <c r="AE165" i="55"/>
  <c r="AA132" i="47"/>
  <c r="AE253" i="55"/>
  <c r="Z22" i="47"/>
  <c r="AD196" i="55"/>
  <c r="AD18" i="47"/>
  <c r="AH139" i="55"/>
  <c r="AD13" i="47"/>
  <c r="AH140" i="55"/>
  <c r="AC37" i="47"/>
  <c r="AG73" i="55"/>
  <c r="AB38" i="47"/>
  <c r="AF78" i="55"/>
  <c r="Z21" i="47"/>
  <c r="AD194" i="55"/>
  <c r="Z56" i="47"/>
  <c r="AD237" i="55"/>
  <c r="Z52" i="47"/>
  <c r="AD234" i="55"/>
  <c r="AD19" i="47"/>
  <c r="AH144" i="55"/>
  <c r="AA25" i="47"/>
  <c r="AE197" i="55"/>
  <c r="AD20" i="47"/>
  <c r="AH151" i="55"/>
  <c r="AD16" i="47" l="1"/>
  <c r="AH136" i="55"/>
  <c r="AD11" i="47"/>
  <c r="AH137" i="55"/>
  <c r="AB32" i="47"/>
  <c r="AF74" i="55"/>
  <c r="AA49" i="47"/>
  <c r="AE162" i="55"/>
  <c r="AA47" i="47"/>
  <c r="AE155" i="55"/>
  <c r="AA44" i="47"/>
  <c r="AE163" i="55"/>
  <c r="AA45" i="47"/>
  <c r="AE161" i="55"/>
  <c r="AH135" i="55"/>
  <c r="AD10" i="47"/>
  <c r="AA43" i="47"/>
  <c r="AE158" i="55"/>
  <c r="AA50" i="47"/>
  <c r="AE160" i="55"/>
  <c r="AA56" i="47"/>
  <c r="AE237" i="55"/>
  <c r="AA59" i="47"/>
  <c r="AE240" i="55"/>
  <c r="AB28" i="47"/>
  <c r="AF200" i="55"/>
  <c r="AA42" i="47"/>
  <c r="AE156" i="55"/>
  <c r="AC41" i="47"/>
  <c r="AG81" i="55"/>
  <c r="AB57" i="47"/>
  <c r="AF233" i="55"/>
  <c r="AE15" i="47"/>
  <c r="AI134" i="55"/>
  <c r="AE20" i="47"/>
  <c r="AI151" i="55"/>
  <c r="AA21" i="47"/>
  <c r="AE194" i="55"/>
  <c r="AE18" i="47"/>
  <c r="AI139" i="55"/>
  <c r="AB48" i="47"/>
  <c r="AF157" i="55"/>
  <c r="AB55" i="47"/>
  <c r="AF239" i="55"/>
  <c r="AA30" i="47"/>
  <c r="AE203" i="55"/>
  <c r="AB31" i="47"/>
  <c r="AF72" i="55"/>
  <c r="AB58" i="47"/>
  <c r="AF235" i="55"/>
  <c r="AA22" i="47"/>
  <c r="AE196" i="55"/>
  <c r="AB53" i="47"/>
  <c r="AF236" i="55"/>
  <c r="AB39" i="47"/>
  <c r="AF76" i="55"/>
  <c r="AE14" i="47"/>
  <c r="AI138" i="55"/>
  <c r="AA60" i="47"/>
  <c r="AE238" i="55"/>
  <c r="AF17" i="47"/>
  <c r="AJ141" i="55"/>
  <c r="AB25" i="47"/>
  <c r="AF197" i="55"/>
  <c r="AA61" i="47"/>
  <c r="AE243" i="55"/>
  <c r="AC40" i="47"/>
  <c r="AG88" i="55"/>
  <c r="AA27" i="47"/>
  <c r="AE195" i="55"/>
  <c r="AA29" i="47"/>
  <c r="AE198" i="55"/>
  <c r="AC33" i="47"/>
  <c r="AG79" i="55"/>
  <c r="AD36" i="47"/>
  <c r="AH71" i="55"/>
  <c r="AE19" i="47"/>
  <c r="AI144" i="55"/>
  <c r="AD37" i="47"/>
  <c r="AH73" i="55"/>
  <c r="AF12" i="47"/>
  <c r="AJ142" i="55"/>
  <c r="AA23" i="47"/>
  <c r="AE201" i="55"/>
  <c r="AC35" i="47"/>
  <c r="AG75" i="55"/>
  <c r="AA54" i="47"/>
  <c r="AE241" i="55"/>
  <c r="AB132" i="47"/>
  <c r="AF253" i="55"/>
  <c r="AA52" i="47"/>
  <c r="AE234" i="55"/>
  <c r="AE13" i="47"/>
  <c r="AI140" i="55"/>
  <c r="AB51" i="47"/>
  <c r="AF165" i="55"/>
  <c r="AB46" i="47"/>
  <c r="AF159" i="55"/>
  <c r="AA24" i="47"/>
  <c r="AE199" i="55"/>
  <c r="AA26" i="47"/>
  <c r="AE193" i="55"/>
  <c r="AD34" i="47"/>
  <c r="AH77" i="55"/>
  <c r="AC38" i="47"/>
  <c r="AG78" i="55"/>
  <c r="AI136" i="55" l="1"/>
  <c r="AE16" i="47"/>
  <c r="AE11" i="47"/>
  <c r="AI137" i="55"/>
  <c r="AC32" i="47"/>
  <c r="AG74" i="55"/>
  <c r="AB47" i="47"/>
  <c r="AF155" i="55"/>
  <c r="AB49" i="47"/>
  <c r="AF162" i="55"/>
  <c r="AF163" i="55"/>
  <c r="AB44" i="47"/>
  <c r="AF161" i="55"/>
  <c r="AB45" i="47"/>
  <c r="AB43" i="47"/>
  <c r="AF158" i="55"/>
  <c r="AI135" i="55"/>
  <c r="AE10" i="47"/>
  <c r="AB50" i="47"/>
  <c r="AF160" i="55"/>
  <c r="AD33" i="47"/>
  <c r="AH79" i="55"/>
  <c r="AG17" i="47"/>
  <c r="AK141" i="55"/>
  <c r="AB22" i="47"/>
  <c r="AF196" i="55"/>
  <c r="AC48" i="47"/>
  <c r="AG157" i="55"/>
  <c r="AD41" i="47"/>
  <c r="AH81" i="55"/>
  <c r="AD38" i="47"/>
  <c r="AH78" i="55"/>
  <c r="AC46" i="47"/>
  <c r="AG159" i="55"/>
  <c r="AB29" i="47"/>
  <c r="AF198" i="55"/>
  <c r="AC58" i="47"/>
  <c r="AG235" i="55"/>
  <c r="AF18" i="47"/>
  <c r="AJ139" i="55"/>
  <c r="AB42" i="47"/>
  <c r="AF156" i="55"/>
  <c r="AB60" i="47"/>
  <c r="AF238" i="55"/>
  <c r="AC31" i="47"/>
  <c r="AG72" i="55"/>
  <c r="AB21" i="47"/>
  <c r="AF194" i="55"/>
  <c r="AC28" i="47"/>
  <c r="AG200" i="55"/>
  <c r="AE34" i="47"/>
  <c r="AI77" i="55"/>
  <c r="AF13" i="47"/>
  <c r="AJ140" i="55"/>
  <c r="AD35" i="47"/>
  <c r="AH75" i="55"/>
  <c r="AF19" i="47"/>
  <c r="AJ144" i="55"/>
  <c r="AD40" i="47"/>
  <c r="AH88" i="55"/>
  <c r="AF14" i="47"/>
  <c r="AJ138" i="55"/>
  <c r="AF20" i="47"/>
  <c r="AJ151" i="55"/>
  <c r="AB59" i="47"/>
  <c r="AF240" i="55"/>
  <c r="AB27" i="47"/>
  <c r="AF195" i="55"/>
  <c r="AB52" i="47"/>
  <c r="AF234" i="55"/>
  <c r="AB23" i="47"/>
  <c r="AF201" i="55"/>
  <c r="AB61" i="47"/>
  <c r="AF243" i="55"/>
  <c r="AC39" i="47"/>
  <c r="AG76" i="55"/>
  <c r="AB30" i="47"/>
  <c r="AF203" i="55"/>
  <c r="AF15" i="47"/>
  <c r="AJ134" i="55"/>
  <c r="AB54" i="47"/>
  <c r="AF241" i="55"/>
  <c r="AE37" i="47"/>
  <c r="AI73" i="55"/>
  <c r="AB26" i="47"/>
  <c r="AF193" i="55"/>
  <c r="AC132" i="47"/>
  <c r="AG253" i="55"/>
  <c r="AC51" i="47"/>
  <c r="AG165" i="55"/>
  <c r="AB24" i="47"/>
  <c r="AF199" i="55"/>
  <c r="AG12" i="47"/>
  <c r="AK142" i="55"/>
  <c r="AE36" i="47"/>
  <c r="AI71" i="55"/>
  <c r="AC25" i="47"/>
  <c r="AG197" i="55"/>
  <c r="AC53" i="47"/>
  <c r="AG236" i="55"/>
  <c r="AC55" i="47"/>
  <c r="AG239" i="55"/>
  <c r="AC57" i="47"/>
  <c r="AG233" i="55"/>
  <c r="AB56" i="47"/>
  <c r="AF237" i="55"/>
  <c r="AF16" i="47" l="1"/>
  <c r="AJ136" i="55"/>
  <c r="AF11" i="47"/>
  <c r="AJ137" i="55"/>
  <c r="AD32" i="47"/>
  <c r="AH74" i="55"/>
  <c r="AC49" i="47"/>
  <c r="AG162" i="55"/>
  <c r="AC47" i="47"/>
  <c r="AG155" i="55"/>
  <c r="AC44" i="47"/>
  <c r="AG163" i="55"/>
  <c r="AC45" i="47"/>
  <c r="AG161" i="55"/>
  <c r="AF10" i="47"/>
  <c r="AJ135" i="55"/>
  <c r="AG158" i="55"/>
  <c r="AC43" i="47"/>
  <c r="AC50" i="47"/>
  <c r="AG160" i="55"/>
  <c r="AC56" i="47"/>
  <c r="AG237" i="55"/>
  <c r="AH17" i="47"/>
  <c r="AL141" i="55"/>
  <c r="AF36" i="47"/>
  <c r="AJ71" i="55"/>
  <c r="AF37" i="47"/>
  <c r="AJ73" i="55"/>
  <c r="AC61" i="47"/>
  <c r="AG243" i="55"/>
  <c r="AG20" i="47"/>
  <c r="AK151" i="55"/>
  <c r="AG13" i="47"/>
  <c r="AK140" i="55"/>
  <c r="AC60" i="47"/>
  <c r="AG238" i="55"/>
  <c r="AC22" i="47"/>
  <c r="AG196" i="55"/>
  <c r="AD57" i="47"/>
  <c r="AH233" i="55"/>
  <c r="AC24" i="47"/>
  <c r="AG199" i="55"/>
  <c r="AC23" i="47"/>
  <c r="AG201" i="55"/>
  <c r="AG14" i="47"/>
  <c r="AK138" i="55"/>
  <c r="AF34" i="47"/>
  <c r="AJ77" i="55"/>
  <c r="AG18" i="47"/>
  <c r="AK139" i="55"/>
  <c r="AD46" i="47"/>
  <c r="AH159" i="55"/>
  <c r="AE33" i="47"/>
  <c r="AI79" i="55"/>
  <c r="AC54" i="47"/>
  <c r="AG241" i="55"/>
  <c r="AG15" i="47"/>
  <c r="AK134" i="55"/>
  <c r="AC52" i="47"/>
  <c r="AG234" i="55"/>
  <c r="AE40" i="47"/>
  <c r="AI88" i="55"/>
  <c r="AD28" i="47"/>
  <c r="AH200" i="55"/>
  <c r="AD58" i="47"/>
  <c r="AH235" i="55"/>
  <c r="AE38" i="47"/>
  <c r="AI78" i="55"/>
  <c r="AH12" i="47"/>
  <c r="AL142" i="55"/>
  <c r="AD53" i="47"/>
  <c r="AH236" i="55"/>
  <c r="AD132" i="47"/>
  <c r="AH253" i="55"/>
  <c r="AC30" i="47"/>
  <c r="AG203" i="55"/>
  <c r="AC27" i="47"/>
  <c r="AG195" i="55"/>
  <c r="AG19" i="47"/>
  <c r="AK144" i="55"/>
  <c r="AC21" i="47"/>
  <c r="AG194" i="55"/>
  <c r="AE41" i="47"/>
  <c r="AI81" i="55"/>
  <c r="AC42" i="47"/>
  <c r="AG156" i="55"/>
  <c r="AD51" i="47"/>
  <c r="AH165" i="55"/>
  <c r="AD25" i="47"/>
  <c r="AH197" i="55"/>
  <c r="AC26" i="47"/>
  <c r="AG193" i="55"/>
  <c r="AD39" i="47"/>
  <c r="AH76" i="55"/>
  <c r="AC59" i="47"/>
  <c r="AG240" i="55"/>
  <c r="AE35" i="47"/>
  <c r="AI75" i="55"/>
  <c r="AD31" i="47"/>
  <c r="AH72" i="55"/>
  <c r="AC29" i="47"/>
  <c r="AG198" i="55"/>
  <c r="AD48" i="47"/>
  <c r="AH157" i="55"/>
  <c r="AD55" i="47"/>
  <c r="AH239" i="55"/>
  <c r="AG16" i="47" l="1"/>
  <c r="AK136" i="55"/>
  <c r="AK137" i="55"/>
  <c r="AG11" i="47"/>
  <c r="AE32" i="47"/>
  <c r="AI74" i="55"/>
  <c r="AD47" i="47"/>
  <c r="AH155" i="55"/>
  <c r="AD49" i="47"/>
  <c r="AH162" i="55"/>
  <c r="AD44" i="47"/>
  <c r="AH163" i="55"/>
  <c r="AD45" i="47"/>
  <c r="AH161" i="55"/>
  <c r="AH158" i="55"/>
  <c r="AD43" i="47"/>
  <c r="AG10" i="47"/>
  <c r="AK135" i="55"/>
  <c r="AD50" i="47"/>
  <c r="AH160" i="55"/>
  <c r="AF35" i="47"/>
  <c r="AJ75" i="55"/>
  <c r="AE51" i="47"/>
  <c r="AI165" i="55"/>
  <c r="AH19" i="47"/>
  <c r="AL144" i="55"/>
  <c r="AD52" i="47"/>
  <c r="AH234" i="55"/>
  <c r="AH18" i="47"/>
  <c r="AL139" i="55"/>
  <c r="AE57" i="47"/>
  <c r="AI233" i="55"/>
  <c r="AH20" i="47"/>
  <c r="AL151" i="55"/>
  <c r="AE55" i="47"/>
  <c r="AI239" i="55"/>
  <c r="AD59" i="47"/>
  <c r="AH240" i="55"/>
  <c r="AD42" i="47"/>
  <c r="AH156" i="55"/>
  <c r="AD27" i="47"/>
  <c r="AH195" i="55"/>
  <c r="AH15" i="47"/>
  <c r="AL134" i="55"/>
  <c r="AG34" i="47"/>
  <c r="AK77" i="55"/>
  <c r="AD61" i="47"/>
  <c r="AH243" i="55"/>
  <c r="AE39" i="47"/>
  <c r="AI76" i="55"/>
  <c r="AD30" i="47"/>
  <c r="AH203" i="55"/>
  <c r="AF38" i="47"/>
  <c r="AJ78" i="55"/>
  <c r="AH14" i="47"/>
  <c r="AL138" i="55"/>
  <c r="AD22" i="47"/>
  <c r="AH196" i="55"/>
  <c r="AG37" i="47"/>
  <c r="AK73" i="55"/>
  <c r="AE48" i="47"/>
  <c r="AI157" i="55"/>
  <c r="AD26" i="47"/>
  <c r="AH193" i="55"/>
  <c r="AF41" i="47"/>
  <c r="AJ81" i="55"/>
  <c r="AE132" i="47"/>
  <c r="AI253" i="55"/>
  <c r="AE58" i="47"/>
  <c r="AI235" i="55"/>
  <c r="AD54" i="47"/>
  <c r="AH241" i="55"/>
  <c r="AD23" i="47"/>
  <c r="AH201" i="55"/>
  <c r="AG36" i="47"/>
  <c r="AK71" i="55"/>
  <c r="AD29" i="47"/>
  <c r="AH198" i="55"/>
  <c r="AE25" i="47"/>
  <c r="AI197" i="55"/>
  <c r="AE53" i="47"/>
  <c r="AI236" i="55"/>
  <c r="AE28" i="47"/>
  <c r="AI200" i="55"/>
  <c r="AF33" i="47"/>
  <c r="AJ79" i="55"/>
  <c r="AD60" i="47"/>
  <c r="AH238" i="55"/>
  <c r="AI17" i="47"/>
  <c r="AM141" i="55"/>
  <c r="AE31" i="47"/>
  <c r="AI72" i="55"/>
  <c r="AD21" i="47"/>
  <c r="AH194" i="55"/>
  <c r="AI12" i="47"/>
  <c r="AM142" i="55"/>
  <c r="AF40" i="47"/>
  <c r="AJ88" i="55"/>
  <c r="AE46" i="47"/>
  <c r="AI159" i="55"/>
  <c r="AD24" i="47"/>
  <c r="AH199" i="55"/>
  <c r="AH13" i="47"/>
  <c r="AL140" i="55"/>
  <c r="AD56" i="47"/>
  <c r="AH237" i="55"/>
  <c r="AH16" i="47" l="1"/>
  <c r="AL136" i="55"/>
  <c r="AH11" i="47"/>
  <c r="AL137" i="55"/>
  <c r="AF32" i="47"/>
  <c r="AJ74" i="55"/>
  <c r="AE49" i="47"/>
  <c r="AI162" i="55"/>
  <c r="AE47" i="47"/>
  <c r="AI155" i="55"/>
  <c r="AE44" i="47"/>
  <c r="AI163" i="55"/>
  <c r="AE45" i="47"/>
  <c r="AI161" i="55"/>
  <c r="AH10" i="47"/>
  <c r="AL135" i="55"/>
  <c r="AI158" i="55"/>
  <c r="AE43" i="47"/>
  <c r="AI160" i="55"/>
  <c r="AE50" i="47"/>
  <c r="AE29" i="47"/>
  <c r="AI198" i="55"/>
  <c r="AF132" i="47"/>
  <c r="AJ253" i="55"/>
  <c r="AI14" i="47"/>
  <c r="AM138" i="55"/>
  <c r="AE27" i="47"/>
  <c r="AI195" i="55"/>
  <c r="AI18" i="47"/>
  <c r="AM139" i="55"/>
  <c r="AJ12" i="47"/>
  <c r="AN142" i="55"/>
  <c r="AE56" i="47"/>
  <c r="AI237" i="55"/>
  <c r="AH36" i="47"/>
  <c r="AL71" i="55"/>
  <c r="AG41" i="47"/>
  <c r="AK81" i="55"/>
  <c r="AE61" i="47"/>
  <c r="AI243" i="55"/>
  <c r="AE42" i="47"/>
  <c r="AI156" i="55"/>
  <c r="AE52" i="47"/>
  <c r="AI234" i="55"/>
  <c r="AE26" i="47"/>
  <c r="AI193" i="55"/>
  <c r="AG38" i="47"/>
  <c r="AK78" i="55"/>
  <c r="AE59" i="47"/>
  <c r="AI240" i="55"/>
  <c r="AE24" i="47"/>
  <c r="AI199" i="55"/>
  <c r="AF31" i="47"/>
  <c r="AJ72" i="55"/>
  <c r="AF53" i="47"/>
  <c r="AJ236" i="55"/>
  <c r="AE23" i="47"/>
  <c r="AI201" i="55"/>
  <c r="AF48" i="47"/>
  <c r="AJ157" i="55"/>
  <c r="AE30" i="47"/>
  <c r="AI203" i="55"/>
  <c r="AH34" i="47"/>
  <c r="AL77" i="55"/>
  <c r="AF55" i="47"/>
  <c r="AJ239" i="55"/>
  <c r="AI19" i="47"/>
  <c r="AM144" i="55"/>
  <c r="AI13" i="47"/>
  <c r="AM140" i="55"/>
  <c r="AG33" i="47"/>
  <c r="AK79" i="55"/>
  <c r="AF46" i="47"/>
  <c r="AJ159" i="55"/>
  <c r="AJ17" i="47"/>
  <c r="AN141" i="55"/>
  <c r="AE54" i="47"/>
  <c r="AI241" i="55"/>
  <c r="AH37" i="47"/>
  <c r="AL73" i="55"/>
  <c r="AI15" i="47"/>
  <c r="AM134" i="55"/>
  <c r="AI20" i="47"/>
  <c r="AM151" i="55"/>
  <c r="AF51" i="47"/>
  <c r="AJ165" i="55"/>
  <c r="AE21" i="47"/>
  <c r="AI194" i="55"/>
  <c r="AF28" i="47"/>
  <c r="AJ200" i="55"/>
  <c r="AG40" i="47"/>
  <c r="AK88" i="55"/>
  <c r="AE60" i="47"/>
  <c r="AI238" i="55"/>
  <c r="AF25" i="47"/>
  <c r="AJ197" i="55"/>
  <c r="AF58" i="47"/>
  <c r="AJ235" i="55"/>
  <c r="AE22" i="47"/>
  <c r="AI196" i="55"/>
  <c r="AF39" i="47"/>
  <c r="AJ76" i="55"/>
  <c r="AF57" i="47"/>
  <c r="AJ233" i="55"/>
  <c r="AG35" i="47"/>
  <c r="AK75" i="55"/>
  <c r="AI16" i="47" l="1"/>
  <c r="AM136" i="55"/>
  <c r="AI11" i="47"/>
  <c r="AM137" i="55"/>
  <c r="AG32" i="47"/>
  <c r="AK74" i="55"/>
  <c r="AF47" i="47"/>
  <c r="AJ155" i="55"/>
  <c r="AF49" i="47"/>
  <c r="AJ162" i="55"/>
  <c r="AF44" i="47"/>
  <c r="AJ163" i="55"/>
  <c r="AJ161" i="55"/>
  <c r="AF45" i="47"/>
  <c r="AF43" i="47"/>
  <c r="AJ158" i="55"/>
  <c r="AI10" i="47"/>
  <c r="AM135" i="55"/>
  <c r="AF50" i="47"/>
  <c r="AJ160" i="55"/>
  <c r="AG58" i="47"/>
  <c r="AK235" i="55"/>
  <c r="AG25" i="47"/>
  <c r="AK197" i="55"/>
  <c r="AF26" i="47"/>
  <c r="AJ193" i="55"/>
  <c r="AF27" i="47"/>
  <c r="AJ195" i="55"/>
  <c r="AG46" i="47"/>
  <c r="AK159" i="55"/>
  <c r="AI34" i="47"/>
  <c r="AM77" i="55"/>
  <c r="AF24" i="47"/>
  <c r="AJ199" i="55"/>
  <c r="AH41" i="47"/>
  <c r="AL81" i="55"/>
  <c r="AJ19" i="47"/>
  <c r="AN144" i="55"/>
  <c r="AF61" i="47"/>
  <c r="AJ243" i="55"/>
  <c r="AK17" i="47"/>
  <c r="AO141" i="55"/>
  <c r="AH40" i="47"/>
  <c r="AL88" i="55"/>
  <c r="AF30" i="47"/>
  <c r="AJ203" i="55"/>
  <c r="AI36" i="47"/>
  <c r="AM71" i="55"/>
  <c r="AJ14" i="47"/>
  <c r="AN138" i="55"/>
  <c r="AG51" i="47"/>
  <c r="AK165" i="55"/>
  <c r="AG55" i="47"/>
  <c r="AK239" i="55"/>
  <c r="AF60" i="47"/>
  <c r="AJ238" i="55"/>
  <c r="AG39" i="47"/>
  <c r="AK76" i="55"/>
  <c r="AG28" i="47"/>
  <c r="AK200" i="55"/>
  <c r="AI37" i="47"/>
  <c r="AM73" i="55"/>
  <c r="AH33" i="47"/>
  <c r="AL79" i="55"/>
  <c r="AG48" i="47"/>
  <c r="AK157" i="55"/>
  <c r="AF59" i="47"/>
  <c r="AJ240" i="55"/>
  <c r="AF52" i="47"/>
  <c r="AJ234" i="55"/>
  <c r="AF56" i="47"/>
  <c r="AJ237" i="55"/>
  <c r="AG132" i="47"/>
  <c r="AK253" i="55"/>
  <c r="AG53" i="47"/>
  <c r="AK236" i="55"/>
  <c r="AJ18" i="47"/>
  <c r="AN139" i="55"/>
  <c r="AJ20" i="47"/>
  <c r="AN151" i="55"/>
  <c r="AJ15" i="47"/>
  <c r="AN134" i="55"/>
  <c r="AF22" i="47"/>
  <c r="AJ196" i="55"/>
  <c r="AF21" i="47"/>
  <c r="AJ194" i="55"/>
  <c r="AF54" i="47"/>
  <c r="AJ241" i="55"/>
  <c r="AJ13" i="47"/>
  <c r="AN140" i="55"/>
  <c r="AF23" i="47"/>
  <c r="AJ201" i="55"/>
  <c r="AF42" i="47"/>
  <c r="AJ156" i="55"/>
  <c r="AK12" i="47"/>
  <c r="AO142" i="55"/>
  <c r="AF29" i="47"/>
  <c r="AJ198" i="55"/>
  <c r="AH38" i="47"/>
  <c r="AL78" i="55"/>
  <c r="AH35" i="47"/>
  <c r="AL75" i="55"/>
  <c r="AG31" i="47"/>
  <c r="AK72" i="55"/>
  <c r="AG57" i="47"/>
  <c r="AK233" i="55"/>
  <c r="AJ16" i="47" l="1"/>
  <c r="AN136" i="55"/>
  <c r="AJ11" i="47"/>
  <c r="AN137" i="55"/>
  <c r="AH32" i="47"/>
  <c r="AL74" i="55"/>
  <c r="AG49" i="47"/>
  <c r="AK162" i="55"/>
  <c r="AG47" i="47"/>
  <c r="AK155" i="55"/>
  <c r="AG44" i="47"/>
  <c r="AK163" i="55"/>
  <c r="AG45" i="47"/>
  <c r="AK161" i="55"/>
  <c r="AJ10" i="47"/>
  <c r="AN135" i="55"/>
  <c r="AG43" i="47"/>
  <c r="AK158" i="55"/>
  <c r="AK160" i="55"/>
  <c r="AG50" i="47"/>
  <c r="AH53" i="47"/>
  <c r="AL236" i="55"/>
  <c r="AG22" i="47"/>
  <c r="AK196" i="55"/>
  <c r="AG27" i="47"/>
  <c r="AK195" i="55"/>
  <c r="AL12" i="47"/>
  <c r="AP142" i="55"/>
  <c r="AM12" i="47" s="1"/>
  <c r="AH28" i="47"/>
  <c r="AL200" i="55"/>
  <c r="AG23" i="47"/>
  <c r="AK201" i="55"/>
  <c r="AH39" i="47"/>
  <c r="AL76" i="55"/>
  <c r="AL17" i="47"/>
  <c r="AP141" i="55"/>
  <c r="AM17" i="47" s="1"/>
  <c r="AG24" i="47"/>
  <c r="AK199" i="55"/>
  <c r="AG26" i="47"/>
  <c r="AK193" i="55"/>
  <c r="AI33" i="47"/>
  <c r="AM79" i="55"/>
  <c r="AK15" i="47"/>
  <c r="AO134" i="55"/>
  <c r="AG21" i="47"/>
  <c r="AK194" i="55"/>
  <c r="AG42" i="47"/>
  <c r="AK156" i="55"/>
  <c r="AI41" i="47"/>
  <c r="AM81" i="55"/>
  <c r="AI38" i="47"/>
  <c r="AM78" i="55"/>
  <c r="AK13" i="47"/>
  <c r="AO140" i="55"/>
  <c r="AK18" i="47"/>
  <c r="AO139" i="55"/>
  <c r="AG59" i="47"/>
  <c r="AK240" i="55"/>
  <c r="AG60" i="47"/>
  <c r="AK238" i="55"/>
  <c r="AG61" i="47"/>
  <c r="AK243" i="55"/>
  <c r="AJ34" i="47"/>
  <c r="AN77" i="55"/>
  <c r="AH25" i="47"/>
  <c r="AL197" i="55"/>
  <c r="AH132" i="47"/>
  <c r="AL253" i="55"/>
  <c r="AH31" i="47"/>
  <c r="AL72" i="55"/>
  <c r="AH51" i="47"/>
  <c r="AL165" i="55"/>
  <c r="AH57" i="47"/>
  <c r="AL233" i="55"/>
  <c r="AJ37" i="47"/>
  <c r="AN73" i="55"/>
  <c r="AG56" i="47"/>
  <c r="AK237" i="55"/>
  <c r="AI40" i="47"/>
  <c r="AM88" i="55"/>
  <c r="AK20" i="47"/>
  <c r="AO151" i="55"/>
  <c r="AG29" i="47"/>
  <c r="AK198" i="55"/>
  <c r="AG54" i="47"/>
  <c r="AK241" i="55"/>
  <c r="AH48" i="47"/>
  <c r="AL157" i="55"/>
  <c r="AH55" i="47"/>
  <c r="AL239" i="55"/>
  <c r="AG30" i="47"/>
  <c r="AK203" i="55"/>
  <c r="AK19" i="47"/>
  <c r="AO144" i="55"/>
  <c r="AH46" i="47"/>
  <c r="AL159" i="55"/>
  <c r="AH58" i="47"/>
  <c r="AL235" i="55"/>
  <c r="AK14" i="47"/>
  <c r="AO138" i="55"/>
  <c r="AJ36" i="47"/>
  <c r="AN71" i="55"/>
  <c r="AI35" i="47"/>
  <c r="AM75" i="55"/>
  <c r="AG52" i="47"/>
  <c r="AK234" i="55"/>
  <c r="AK16" i="47" l="1"/>
  <c r="AO136" i="55"/>
  <c r="AK11" i="47"/>
  <c r="AO137" i="55"/>
  <c r="AI32" i="47"/>
  <c r="AM74" i="55"/>
  <c r="AH47" i="47"/>
  <c r="AL155" i="55"/>
  <c r="AH49" i="47"/>
  <c r="AL162" i="55"/>
  <c r="AH44" i="47"/>
  <c r="AL163" i="55"/>
  <c r="AH45" i="47"/>
  <c r="AL161" i="55"/>
  <c r="AH43" i="47"/>
  <c r="AL158" i="55"/>
  <c r="AK10" i="47"/>
  <c r="AO135" i="55"/>
  <c r="AH50" i="47"/>
  <c r="AL160" i="55"/>
  <c r="AI58" i="47"/>
  <c r="AM235" i="55"/>
  <c r="AI46" i="47"/>
  <c r="AM159" i="55"/>
  <c r="AH61" i="47"/>
  <c r="AL243" i="55"/>
  <c r="AJ38" i="47"/>
  <c r="AN78" i="55"/>
  <c r="AH27" i="47"/>
  <c r="AL195" i="55"/>
  <c r="AK37" i="47"/>
  <c r="AO73" i="55"/>
  <c r="AJ35" i="47"/>
  <c r="AN75" i="55"/>
  <c r="AL19" i="47"/>
  <c r="AP144" i="55"/>
  <c r="AM19" i="47" s="1"/>
  <c r="AH29" i="47"/>
  <c r="AL198" i="55"/>
  <c r="AI51" i="47"/>
  <c r="AM165" i="55"/>
  <c r="AL15" i="47"/>
  <c r="AP134" i="55"/>
  <c r="AM15" i="47" s="1"/>
  <c r="AH22" i="47"/>
  <c r="AL196" i="55"/>
  <c r="AH24" i="47"/>
  <c r="AL199" i="55"/>
  <c r="AI57" i="47"/>
  <c r="AM233" i="55"/>
  <c r="AK36" i="47"/>
  <c r="AO71" i="55"/>
  <c r="AL20" i="47"/>
  <c r="AP151" i="55"/>
  <c r="AM20" i="47" s="1"/>
  <c r="AI31" i="47"/>
  <c r="AM72" i="55"/>
  <c r="AH60" i="47"/>
  <c r="AL238" i="55"/>
  <c r="AJ41" i="47"/>
  <c r="AN81" i="55"/>
  <c r="AI39" i="47"/>
  <c r="AM76" i="55"/>
  <c r="AH21" i="47"/>
  <c r="AL194" i="55"/>
  <c r="AH52" i="47"/>
  <c r="AL234" i="55"/>
  <c r="AH30" i="47"/>
  <c r="AL203" i="55"/>
  <c r="AI55" i="47"/>
  <c r="AM239" i="55"/>
  <c r="AJ40" i="47"/>
  <c r="AN88" i="55"/>
  <c r="AI132" i="47"/>
  <c r="AM253" i="55"/>
  <c r="AH59" i="47"/>
  <c r="AL240" i="55"/>
  <c r="AH42" i="47"/>
  <c r="AL156" i="55"/>
  <c r="AJ33" i="47"/>
  <c r="AN79" i="55"/>
  <c r="AH23" i="47"/>
  <c r="AL201" i="55"/>
  <c r="AI53" i="47"/>
  <c r="AM236" i="55"/>
  <c r="AL13" i="47"/>
  <c r="AP140" i="55"/>
  <c r="AM13" i="47" s="1"/>
  <c r="AK34" i="47"/>
  <c r="AO77" i="55"/>
  <c r="AH54" i="47"/>
  <c r="AL241" i="55"/>
  <c r="AL14" i="47"/>
  <c r="AP138" i="55"/>
  <c r="AM14" i="47" s="1"/>
  <c r="AI48" i="47"/>
  <c r="AM157" i="55"/>
  <c r="AH56" i="47"/>
  <c r="AL237" i="55"/>
  <c r="AI25" i="47"/>
  <c r="AM197" i="55"/>
  <c r="AL18" i="47"/>
  <c r="AP139" i="55"/>
  <c r="AM18" i="47" s="1"/>
  <c r="AH26" i="47"/>
  <c r="AL193" i="55"/>
  <c r="AI28" i="47"/>
  <c r="AM200" i="55"/>
  <c r="AL16" i="47" l="1"/>
  <c r="AP136" i="55"/>
  <c r="AM16" i="47" s="1"/>
  <c r="AL11" i="47"/>
  <c r="AP137" i="55"/>
  <c r="AM11" i="47" s="1"/>
  <c r="AN74" i="55"/>
  <c r="AJ32" i="47"/>
  <c r="AI49" i="47"/>
  <c r="AM162" i="55"/>
  <c r="AI47" i="47"/>
  <c r="AM155" i="55"/>
  <c r="AI44" i="47"/>
  <c r="AM163" i="55"/>
  <c r="AM161" i="55"/>
  <c r="AI45" i="47"/>
  <c r="AL10" i="47"/>
  <c r="AP135" i="55"/>
  <c r="AM10" i="47" s="1"/>
  <c r="AM158" i="55"/>
  <c r="AI43" i="47"/>
  <c r="AI50" i="47"/>
  <c r="AM160" i="55"/>
  <c r="AJ28" i="47"/>
  <c r="AN200" i="55"/>
  <c r="AJ48" i="47"/>
  <c r="AN157" i="55"/>
  <c r="AI23" i="47"/>
  <c r="AM201" i="55"/>
  <c r="AJ55" i="47"/>
  <c r="AN239" i="55"/>
  <c r="AK41" i="47"/>
  <c r="AO81" i="55"/>
  <c r="AI24" i="47"/>
  <c r="AM199" i="55"/>
  <c r="AJ51" i="47"/>
  <c r="AN165" i="55"/>
  <c r="AI56" i="47"/>
  <c r="AM237" i="55"/>
  <c r="AK33" i="47"/>
  <c r="AO79" i="55"/>
  <c r="AI30" i="47"/>
  <c r="AM203" i="55"/>
  <c r="AI60" i="47"/>
  <c r="AM238" i="55"/>
  <c r="AI22" i="47"/>
  <c r="AM196" i="55"/>
  <c r="AI29" i="47"/>
  <c r="AM198" i="55"/>
  <c r="AK38" i="47"/>
  <c r="AO78" i="55"/>
  <c r="AI27" i="47"/>
  <c r="AM195" i="55"/>
  <c r="AI54" i="47"/>
  <c r="AM241" i="55"/>
  <c r="AI42" i="47"/>
  <c r="AM156" i="55"/>
  <c r="AI52" i="47"/>
  <c r="AM234" i="55"/>
  <c r="AJ31" i="47"/>
  <c r="AN72" i="55"/>
  <c r="AI61" i="47"/>
  <c r="AM243" i="55"/>
  <c r="AI59" i="47"/>
  <c r="AM240" i="55"/>
  <c r="AI21" i="47"/>
  <c r="AM194" i="55"/>
  <c r="AK35" i="47"/>
  <c r="AO75" i="55"/>
  <c r="AJ46" i="47"/>
  <c r="AN159" i="55"/>
  <c r="AJ53" i="47"/>
  <c r="AN236" i="55"/>
  <c r="AK40" i="47"/>
  <c r="AO88" i="55"/>
  <c r="AI26" i="47"/>
  <c r="AM193" i="55"/>
  <c r="AL34" i="47"/>
  <c r="AP77" i="55"/>
  <c r="AM34" i="47" s="1"/>
  <c r="AJ25" i="47"/>
  <c r="AN197" i="55"/>
  <c r="AJ132" i="47"/>
  <c r="AN253" i="55"/>
  <c r="AJ39" i="47"/>
  <c r="AN76" i="55"/>
  <c r="AL36" i="47"/>
  <c r="AP71" i="55"/>
  <c r="AM36" i="47" s="1"/>
  <c r="AL37" i="47"/>
  <c r="AP73" i="55"/>
  <c r="AM37" i="47" s="1"/>
  <c r="AJ58" i="47"/>
  <c r="AN235" i="55"/>
  <c r="AJ57" i="47"/>
  <c r="AN233" i="55"/>
  <c r="AK32" i="47" l="1"/>
  <c r="AO74" i="55"/>
  <c r="AJ47" i="47"/>
  <c r="AN155" i="55"/>
  <c r="AJ49" i="47"/>
  <c r="AN162" i="55"/>
  <c r="AJ44" i="47"/>
  <c r="AN163" i="55"/>
  <c r="AJ45" i="47"/>
  <c r="AN161" i="55"/>
  <c r="AJ43" i="47"/>
  <c r="AN158" i="55"/>
  <c r="AJ50" i="47"/>
  <c r="AN160" i="55"/>
  <c r="AK57" i="47"/>
  <c r="AO233" i="55"/>
  <c r="AK132" i="47"/>
  <c r="AO253" i="55"/>
  <c r="AK46" i="47"/>
  <c r="AO159" i="55"/>
  <c r="AK31" i="47"/>
  <c r="AO72" i="55"/>
  <c r="AL33" i="47"/>
  <c r="AP79" i="55"/>
  <c r="AM33" i="47" s="1"/>
  <c r="AJ24" i="47"/>
  <c r="AN199" i="55"/>
  <c r="AL38" i="47"/>
  <c r="AP78" i="55"/>
  <c r="AM38" i="47" s="1"/>
  <c r="AJ21" i="47"/>
  <c r="AN194" i="55"/>
  <c r="AJ42" i="47"/>
  <c r="AN156" i="55"/>
  <c r="AJ29" i="47"/>
  <c r="AN198" i="55"/>
  <c r="AJ56" i="47"/>
  <c r="AN237" i="55"/>
  <c r="AK55" i="47"/>
  <c r="AO239" i="55"/>
  <c r="AK25" i="47"/>
  <c r="AO197" i="55"/>
  <c r="AJ26" i="47"/>
  <c r="AN193" i="55"/>
  <c r="AJ59" i="47"/>
  <c r="AN240" i="55"/>
  <c r="AJ54" i="47"/>
  <c r="AN241" i="55"/>
  <c r="AJ22" i="47"/>
  <c r="AN196" i="55"/>
  <c r="AJ23" i="47"/>
  <c r="AN201" i="55"/>
  <c r="AL35" i="47"/>
  <c r="AP75" i="55"/>
  <c r="AM35" i="47" s="1"/>
  <c r="AK58" i="47"/>
  <c r="AO235" i="55"/>
  <c r="AL40" i="47"/>
  <c r="AP88" i="55"/>
  <c r="AM40" i="47" s="1"/>
  <c r="AJ61" i="47"/>
  <c r="AN243" i="55"/>
  <c r="AJ60" i="47"/>
  <c r="AN238" i="55"/>
  <c r="AK48" i="47"/>
  <c r="AO157" i="55"/>
  <c r="AJ52" i="47"/>
  <c r="AN234" i="55"/>
  <c r="AK39" i="47"/>
  <c r="AO76" i="55"/>
  <c r="AK53" i="47"/>
  <c r="AO236" i="55"/>
  <c r="AJ27" i="47"/>
  <c r="AN195" i="55"/>
  <c r="AJ30" i="47"/>
  <c r="AN203" i="55"/>
  <c r="AK51" i="47"/>
  <c r="AO165" i="55"/>
  <c r="AK28" i="47"/>
  <c r="AO200" i="55"/>
  <c r="AL41" i="47"/>
  <c r="AP81" i="55"/>
  <c r="AM41" i="47" s="1"/>
  <c r="AL32" i="47" l="1"/>
  <c r="AP74" i="55"/>
  <c r="AM32" i="47" s="1"/>
  <c r="AO162" i="55"/>
  <c r="AK49" i="47"/>
  <c r="AK47" i="47"/>
  <c r="AO155" i="55"/>
  <c r="AK44" i="47"/>
  <c r="AO163" i="55"/>
  <c r="AK45" i="47"/>
  <c r="AO161" i="55"/>
  <c r="AK43" i="47"/>
  <c r="AO158" i="55"/>
  <c r="AK50" i="47"/>
  <c r="AO160" i="55"/>
  <c r="AK56" i="47"/>
  <c r="AO237" i="55"/>
  <c r="AL48" i="47"/>
  <c r="AP157" i="55"/>
  <c r="AM48" i="47" s="1"/>
  <c r="AK26" i="47"/>
  <c r="AO193" i="55"/>
  <c r="AK42" i="47"/>
  <c r="AO156" i="55"/>
  <c r="AL31" i="47"/>
  <c r="AP72" i="55"/>
  <c r="AM31" i="47" s="1"/>
  <c r="AK54" i="47"/>
  <c r="AO241" i="55"/>
  <c r="AK29" i="47"/>
  <c r="AO198" i="55"/>
  <c r="AK21" i="47"/>
  <c r="AO194" i="55"/>
  <c r="AL46" i="47"/>
  <c r="AP159" i="55"/>
  <c r="AM46" i="47" s="1"/>
  <c r="AK52" i="47"/>
  <c r="AO234" i="55"/>
  <c r="AK59" i="47"/>
  <c r="AO240" i="55"/>
  <c r="AK60" i="47"/>
  <c r="AO238" i="55"/>
  <c r="AK23" i="47"/>
  <c r="AO201" i="55"/>
  <c r="AK30" i="47"/>
  <c r="AO203" i="55"/>
  <c r="AK27" i="47"/>
  <c r="AO195" i="55"/>
  <c r="AL53" i="47"/>
  <c r="AP236" i="55"/>
  <c r="AM53" i="47" s="1"/>
  <c r="AL25" i="47"/>
  <c r="AP197" i="55"/>
  <c r="AM25" i="47" s="1"/>
  <c r="AL132" i="47"/>
  <c r="AP253" i="55"/>
  <c r="AM132" i="47" s="1"/>
  <c r="AL58" i="47"/>
  <c r="AP235" i="55"/>
  <c r="AM58" i="47" s="1"/>
  <c r="AL28" i="47"/>
  <c r="AP200" i="55"/>
  <c r="AM28" i="47" s="1"/>
  <c r="AL39" i="47"/>
  <c r="AP76" i="55"/>
  <c r="AM39" i="47" s="1"/>
  <c r="AK61" i="47"/>
  <c r="AO243" i="55"/>
  <c r="AK22" i="47"/>
  <c r="AO196" i="55"/>
  <c r="AL55" i="47"/>
  <c r="AP239" i="55"/>
  <c r="AM55" i="47" s="1"/>
  <c r="AK24" i="47"/>
  <c r="AO199" i="55"/>
  <c r="AL57" i="47"/>
  <c r="AP233" i="55"/>
  <c r="AM57" i="47" s="1"/>
  <c r="AL51" i="47"/>
  <c r="AP165" i="55"/>
  <c r="AM51" i="47" s="1"/>
  <c r="AL47" i="47" l="1"/>
  <c r="AP155" i="55"/>
  <c r="AM47" i="47" s="1"/>
  <c r="AL49" i="47"/>
  <c r="AP162" i="55"/>
  <c r="AM49" i="47" s="1"/>
  <c r="AL44" i="47"/>
  <c r="AP163" i="55"/>
  <c r="AM44" i="47" s="1"/>
  <c r="AL45" i="47"/>
  <c r="AP161" i="55"/>
  <c r="AM45" i="47" s="1"/>
  <c r="AP158" i="55"/>
  <c r="AM43" i="47" s="1"/>
  <c r="AL43" i="47"/>
  <c r="AL50" i="47"/>
  <c r="AP160" i="55"/>
  <c r="AM50" i="47" s="1"/>
  <c r="AL54" i="47"/>
  <c r="AP241" i="55"/>
  <c r="AM54" i="47" s="1"/>
  <c r="AL52" i="47"/>
  <c r="AP234" i="55"/>
  <c r="AM52" i="47" s="1"/>
  <c r="AL42" i="47"/>
  <c r="AP156" i="55"/>
  <c r="AM42" i="47" s="1"/>
  <c r="AL22" i="47"/>
  <c r="AP196" i="55"/>
  <c r="AM22" i="47" s="1"/>
  <c r="AL27" i="47"/>
  <c r="AP195" i="55"/>
  <c r="AM27" i="47" s="1"/>
  <c r="AL26" i="47"/>
  <c r="AP193" i="55"/>
  <c r="AM26" i="47" s="1"/>
  <c r="AL30" i="47"/>
  <c r="AP203" i="55"/>
  <c r="AM30" i="47" s="1"/>
  <c r="AL21" i="47"/>
  <c r="AP194" i="55"/>
  <c r="AM21" i="47" s="1"/>
  <c r="AL60" i="47"/>
  <c r="AP238" i="55"/>
  <c r="AM60" i="47" s="1"/>
  <c r="AL61" i="47"/>
  <c r="AP243" i="55"/>
  <c r="AM61" i="47" s="1"/>
  <c r="AL59" i="47"/>
  <c r="AP240" i="55"/>
  <c r="AM59" i="47" s="1"/>
  <c r="AL23" i="47"/>
  <c r="AP201" i="55"/>
  <c r="AM23" i="47" s="1"/>
  <c r="AL29" i="47"/>
  <c r="AP198" i="55"/>
  <c r="AM29" i="47" s="1"/>
  <c r="AL56" i="47"/>
  <c r="AP237" i="55"/>
  <c r="AM56" i="47" s="1"/>
  <c r="AL24" i="47"/>
  <c r="AP199" i="55"/>
  <c r="AM24" i="47" s="1"/>
  <c r="O264" i="57"/>
  <c r="AC26" i="57" l="1"/>
  <c r="K26" i="57" s="1"/>
  <c r="AC55" i="57" l="1"/>
  <c r="K55" i="57" s="1"/>
  <c r="AD26" i="57"/>
  <c r="L26" i="57" s="1"/>
  <c r="AC81" i="57"/>
  <c r="K81" i="57" s="1"/>
  <c r="AC108" i="57"/>
  <c r="K108" i="57" s="1"/>
  <c r="AC97" i="57"/>
  <c r="K97" i="57" s="1"/>
  <c r="AD108" i="57" l="1"/>
  <c r="L108" i="57" s="1"/>
  <c r="AD81" i="57"/>
  <c r="L81" i="57" s="1"/>
  <c r="AD97" i="57"/>
  <c r="L97" i="57" s="1"/>
  <c r="AE26" i="57"/>
  <c r="M26" i="57" s="1"/>
  <c r="AD55" i="57"/>
  <c r="L55" i="57" s="1"/>
  <c r="AE55" i="57" l="1"/>
  <c r="M55" i="57" s="1"/>
  <c r="AE108" i="57"/>
  <c r="M108" i="57" s="1"/>
  <c r="AE81" i="57"/>
  <c r="M81" i="57" s="1"/>
  <c r="AE97" i="57"/>
  <c r="M97" i="57" s="1"/>
  <c r="AC27" i="57" l="1"/>
  <c r="K27" i="57" s="1"/>
  <c r="AC101" i="57" l="1"/>
  <c r="K101" i="57" s="1"/>
  <c r="AC56" i="57"/>
  <c r="K56" i="57" s="1"/>
  <c r="AC86" i="57"/>
  <c r="K86" i="57" s="1"/>
  <c r="AD27" i="57"/>
  <c r="L27" i="57" s="1"/>
  <c r="AC109" i="57"/>
  <c r="K109" i="57" s="1"/>
  <c r="AD101" i="57" l="1"/>
  <c r="L101" i="57" s="1"/>
  <c r="AD109" i="57"/>
  <c r="L109" i="57" s="1"/>
  <c r="AE27" i="57"/>
  <c r="M27" i="57" s="1"/>
  <c r="AD56" i="57"/>
  <c r="L56" i="57" s="1"/>
  <c r="AD86" i="57"/>
  <c r="L86" i="57" s="1"/>
  <c r="AE109" i="57" l="1"/>
  <c r="M109" i="57" s="1"/>
  <c r="AE56" i="57"/>
  <c r="M56" i="57" s="1"/>
  <c r="AE86" i="57"/>
  <c r="M86" i="57" s="1"/>
  <c r="AE101" i="57"/>
  <c r="M101" i="57" s="1"/>
  <c r="O261" i="57" l="1"/>
  <c r="O262" i="57"/>
  <c r="O263" i="57"/>
  <c r="O265" i="57"/>
  <c r="O260" i="57"/>
  <c r="O107" i="57"/>
  <c r="X107" i="57" s="1"/>
  <c r="O54" i="57"/>
  <c r="O162" i="57" s="1"/>
  <c r="F162" i="57" s="1"/>
  <c r="X162" i="57" l="1"/>
  <c r="X54" i="57"/>
  <c r="X58" i="57" s="1"/>
  <c r="X59" i="57" s="1"/>
  <c r="X60" i="57" s="1"/>
  <c r="O111" i="57"/>
  <c r="F111" i="57" s="1"/>
  <c r="F107" i="57"/>
  <c r="F54" i="57"/>
  <c r="F45" i="57" s="1"/>
  <c r="O58" i="57"/>
  <c r="F58" i="57" s="1"/>
  <c r="O161" i="57"/>
  <c r="AC30" i="57"/>
  <c r="K30" i="57" s="1"/>
  <c r="O163" i="57"/>
  <c r="F163" i="57" s="1"/>
  <c r="O61" i="57" l="1"/>
  <c r="F61" i="57" s="1"/>
  <c r="O59" i="57"/>
  <c r="F59" i="57" s="1"/>
  <c r="F60" i="57" s="1"/>
  <c r="AC54" i="57"/>
  <c r="F161" i="57"/>
  <c r="K233" i="57" s="1"/>
  <c r="L233" i="57" s="1"/>
  <c r="X161" i="57"/>
  <c r="X183" i="57" s="1"/>
  <c r="O150" i="57"/>
  <c r="F150" i="57" s="1"/>
  <c r="X111" i="57"/>
  <c r="M235" i="57"/>
  <c r="X163" i="57"/>
  <c r="X61" i="57"/>
  <c r="O151" i="57"/>
  <c r="F151" i="57" s="1"/>
  <c r="O149" i="57"/>
  <c r="M234" i="57"/>
  <c r="K234" i="57"/>
  <c r="L234" i="57" s="1"/>
  <c r="G45" i="57"/>
  <c r="M233" i="57" l="1"/>
  <c r="O60" i="57"/>
  <c r="AC58" i="57"/>
  <c r="K54" i="57"/>
  <c r="K45" i="57" s="1"/>
  <c r="K235" i="57"/>
  <c r="L235" i="57" s="1"/>
  <c r="F149" i="57"/>
  <c r="F112" i="57" s="1"/>
  <c r="X149" i="57"/>
  <c r="X151" i="57"/>
  <c r="F187" i="57"/>
  <c r="X150" i="57"/>
  <c r="G61" i="57"/>
  <c r="H45" i="57"/>
  <c r="E255" i="57"/>
  <c r="F188" i="57"/>
  <c r="E254" i="57"/>
  <c r="E253" i="57"/>
  <c r="AC107" i="57"/>
  <c r="K107" i="57" s="1"/>
  <c r="AD30" i="57"/>
  <c r="L30" i="57" s="1"/>
  <c r="K58" i="57" l="1"/>
  <c r="AC59" i="57"/>
  <c r="AC61" i="57"/>
  <c r="AC111" i="57"/>
  <c r="K111" i="57" s="1"/>
  <c r="K262" i="57"/>
  <c r="L262" i="57" s="1"/>
  <c r="M262" i="57"/>
  <c r="N262" i="57" s="1"/>
  <c r="M260" i="57"/>
  <c r="N260" i="57" s="1"/>
  <c r="K260" i="57"/>
  <c r="L260" i="57" s="1"/>
  <c r="AD54" i="57"/>
  <c r="AE30" i="57"/>
  <c r="M30" i="57" s="1"/>
  <c r="AD107" i="57"/>
  <c r="L107" i="57" s="1"/>
  <c r="M261" i="57"/>
  <c r="N261" i="57" s="1"/>
  <c r="K261" i="57"/>
  <c r="L261" i="57" s="1"/>
  <c r="P201" i="57"/>
  <c r="M220" i="57"/>
  <c r="J102" i="47" s="1"/>
  <c r="N201" i="57"/>
  <c r="O201" i="57" s="1"/>
  <c r="K220" i="57"/>
  <c r="H102" i="47" s="1"/>
  <c r="K221" i="57"/>
  <c r="H101" i="47" s="1"/>
  <c r="P202" i="57"/>
  <c r="N202" i="57"/>
  <c r="O202" i="57" s="1"/>
  <c r="M221" i="57"/>
  <c r="J101" i="47" s="1"/>
  <c r="F186" i="57"/>
  <c r="AD58" i="57" l="1"/>
  <c r="L58" i="57" s="1"/>
  <c r="L54" i="57"/>
  <c r="AC60" i="57"/>
  <c r="K59" i="57"/>
  <c r="K60" i="57" s="1"/>
  <c r="I45" i="57"/>
  <c r="L45" i="57"/>
  <c r="AD111" i="57"/>
  <c r="L111" i="57" s="1"/>
  <c r="L220" i="57"/>
  <c r="I102" i="47" s="1"/>
  <c r="N200" i="57"/>
  <c r="O200" i="57" s="1"/>
  <c r="P200" i="57"/>
  <c r="M219" i="57"/>
  <c r="J100" i="47" s="1"/>
  <c r="K219" i="57"/>
  <c r="K61" i="57"/>
  <c r="H61" i="57"/>
  <c r="H255" i="57"/>
  <c r="H254" i="57"/>
  <c r="H253" i="57"/>
  <c r="L221" i="57"/>
  <c r="I101" i="47" s="1"/>
  <c r="AE107" i="57"/>
  <c r="M107" i="57" s="1"/>
  <c r="AE54" i="57"/>
  <c r="AD61" i="57"/>
  <c r="L61" i="57" s="1"/>
  <c r="AD59" i="57"/>
  <c r="AD60" i="57" l="1"/>
  <c r="L59" i="57"/>
  <c r="L60" i="57" s="1"/>
  <c r="AE58" i="57"/>
  <c r="M58" i="57" s="1"/>
  <c r="M54" i="57"/>
  <c r="M45" i="57" s="1"/>
  <c r="I253" i="57"/>
  <c r="AE111" i="57"/>
  <c r="M111" i="57" s="1"/>
  <c r="K253" i="57" s="1"/>
  <c r="J45" i="57"/>
  <c r="H100" i="47"/>
  <c r="L219" i="57"/>
  <c r="I100" i="47" s="1"/>
  <c r="AB261" i="57"/>
  <c r="I61" i="57"/>
  <c r="AB262" i="57"/>
  <c r="G255" i="57"/>
  <c r="G254" i="57"/>
  <c r="G253" i="57"/>
  <c r="AB260" i="57"/>
  <c r="AC260" i="57" s="1"/>
  <c r="AD260" i="57" s="1"/>
  <c r="AE260" i="57" s="1"/>
  <c r="AF260" i="57" s="1"/>
  <c r="AG260" i="57" s="1"/>
  <c r="AH260" i="57" s="1"/>
  <c r="AI260" i="57" s="1"/>
  <c r="AJ260" i="57" s="1"/>
  <c r="AK260" i="57" s="1"/>
  <c r="AE61" i="57"/>
  <c r="AE59" i="57"/>
  <c r="AL260" i="57"/>
  <c r="I255" i="57"/>
  <c r="I254" i="57"/>
  <c r="AE60" i="57" l="1"/>
  <c r="M59" i="57"/>
  <c r="M60" i="57" s="1"/>
  <c r="J253" i="57"/>
  <c r="AM260" i="57" s="1"/>
  <c r="AN260" i="57" s="1"/>
  <c r="AO260" i="57" s="1"/>
  <c r="AP260" i="57" s="1"/>
  <c r="AQ260" i="57" s="1"/>
  <c r="AR260" i="57" s="1"/>
  <c r="AS260" i="57" s="1"/>
  <c r="AT260" i="57" s="1"/>
  <c r="AU260" i="57" s="1"/>
  <c r="AC262" i="57"/>
  <c r="AD262" i="57" s="1"/>
  <c r="AE262" i="57" s="1"/>
  <c r="AF262" i="57" s="1"/>
  <c r="AG262" i="57" s="1"/>
  <c r="AH262" i="57" s="1"/>
  <c r="AI262" i="57" s="1"/>
  <c r="AJ262" i="57" s="1"/>
  <c r="AK262" i="57" s="1"/>
  <c r="AL262" i="57"/>
  <c r="J61" i="57"/>
  <c r="M61" i="57"/>
  <c r="P261" i="57"/>
  <c r="Q261" i="57" s="1"/>
  <c r="R261" i="57"/>
  <c r="S261" i="57" s="1"/>
  <c r="T261" i="57" s="1"/>
  <c r="U261" i="57" s="1"/>
  <c r="V261" i="57" s="1"/>
  <c r="W261" i="57" s="1"/>
  <c r="X261" i="57" s="1"/>
  <c r="Y261" i="57" s="1"/>
  <c r="Z261" i="57" s="1"/>
  <c r="AA261" i="57" s="1"/>
  <c r="R262" i="57"/>
  <c r="S262" i="57" s="1"/>
  <c r="T262" i="57" s="1"/>
  <c r="U262" i="57" s="1"/>
  <c r="V262" i="57" s="1"/>
  <c r="W262" i="57" s="1"/>
  <c r="X262" i="57" s="1"/>
  <c r="Y262" i="57" s="1"/>
  <c r="Z262" i="57" s="1"/>
  <c r="AA262" i="57" s="1"/>
  <c r="P262" i="57"/>
  <c r="Q262" i="57" s="1"/>
  <c r="P260" i="57"/>
  <c r="Q260" i="57" s="1"/>
  <c r="R260" i="57"/>
  <c r="S260" i="57" s="1"/>
  <c r="T260" i="57" s="1"/>
  <c r="U260" i="57" s="1"/>
  <c r="V260" i="57" s="1"/>
  <c r="W260" i="57" s="1"/>
  <c r="X260" i="57" s="1"/>
  <c r="Y260" i="57" s="1"/>
  <c r="Z260" i="57" s="1"/>
  <c r="AA260" i="57" s="1"/>
  <c r="AC261" i="57"/>
  <c r="AD261" i="57" s="1"/>
  <c r="AE261" i="57" s="1"/>
  <c r="AF261" i="57" s="1"/>
  <c r="AG261" i="57" s="1"/>
  <c r="AH261" i="57" s="1"/>
  <c r="AI261" i="57" s="1"/>
  <c r="AJ261" i="57" s="1"/>
  <c r="AK261" i="57" s="1"/>
  <c r="AL261" i="57"/>
  <c r="K255" i="57"/>
  <c r="J255" i="57"/>
  <c r="K254" i="57"/>
  <c r="J254" i="57"/>
  <c r="AV260" i="57" l="1"/>
  <c r="AW260" i="57" s="1"/>
  <c r="AX260" i="57" s="1"/>
  <c r="AY260" i="57" s="1"/>
  <c r="AZ260" i="57"/>
  <c r="BA260" i="57" s="1"/>
  <c r="BB260" i="57" s="1"/>
  <c r="BC260" i="57" s="1"/>
  <c r="BD260" i="57" s="1"/>
  <c r="AZ261" i="57"/>
  <c r="BA261" i="57" s="1"/>
  <c r="BB261" i="57" s="1"/>
  <c r="BC261" i="57" s="1"/>
  <c r="BD261" i="57" s="1"/>
  <c r="AM261" i="57"/>
  <c r="AN261" i="57" s="1"/>
  <c r="AO261" i="57" s="1"/>
  <c r="AP261" i="57" s="1"/>
  <c r="AQ261" i="57" s="1"/>
  <c r="AR261" i="57" s="1"/>
  <c r="AS261" i="57" s="1"/>
  <c r="AT261" i="57" s="1"/>
  <c r="AU261" i="57" s="1"/>
  <c r="AV261" i="57"/>
  <c r="AW261" i="57" s="1"/>
  <c r="AX261" i="57" s="1"/>
  <c r="AY261" i="57" s="1"/>
  <c r="AZ262" i="57"/>
  <c r="BA262" i="57" s="1"/>
  <c r="BB262" i="57" s="1"/>
  <c r="BC262" i="57" s="1"/>
  <c r="BD262" i="57" s="1"/>
  <c r="AM262" i="57"/>
  <c r="AN262" i="57" s="1"/>
  <c r="AO262" i="57" s="1"/>
  <c r="AP262" i="57" s="1"/>
  <c r="AQ262" i="57" s="1"/>
  <c r="AR262" i="57" s="1"/>
  <c r="AS262" i="57" s="1"/>
  <c r="AT262" i="57" s="1"/>
  <c r="AU262" i="57" s="1"/>
  <c r="AV262" i="57"/>
  <c r="AW262" i="57" s="1"/>
  <c r="AX262" i="57" s="1"/>
  <c r="AY262" i="57" s="1"/>
  <c r="O87" i="57" l="1"/>
  <c r="F64" i="57"/>
  <c r="O82" i="57"/>
  <c r="F82" i="57" l="1"/>
  <c r="F85" i="57" s="1"/>
  <c r="X82" i="57"/>
  <c r="F87" i="57"/>
  <c r="F90" i="57" s="1"/>
  <c r="X87" i="57"/>
  <c r="AC64" i="57"/>
  <c r="AD64" i="57" l="1"/>
  <c r="AE64" i="57" l="1"/>
  <c r="F73" i="57" l="1"/>
  <c r="P73" i="57" l="1"/>
  <c r="Y73" i="57" s="1"/>
  <c r="G73" i="57" s="1"/>
  <c r="Q73" i="57" l="1"/>
  <c r="P115" i="57"/>
  <c r="Y115" i="57" s="1"/>
  <c r="P123" i="57"/>
  <c r="Y123" i="57" s="1"/>
  <c r="P116" i="57"/>
  <c r="Y116" i="57" s="1"/>
  <c r="P120" i="57"/>
  <c r="Y120" i="57" s="1"/>
  <c r="P124" i="57"/>
  <c r="Y124" i="57" s="1"/>
  <c r="P119" i="57"/>
  <c r="Y119" i="57" s="1"/>
  <c r="Z73" i="57" l="1"/>
  <c r="H73" i="57"/>
  <c r="P127" i="57"/>
  <c r="Q119" i="57"/>
  <c r="Z119" i="57" s="1"/>
  <c r="Q115" i="57"/>
  <c r="Z115" i="57" s="1"/>
  <c r="Q120" i="57"/>
  <c r="Z120" i="57" s="1"/>
  <c r="Q123" i="57"/>
  <c r="Z123" i="57" s="1"/>
  <c r="Q124" i="57"/>
  <c r="Z124" i="57" s="1"/>
  <c r="Q116" i="57"/>
  <c r="Z116" i="57" s="1"/>
  <c r="P128" i="57"/>
  <c r="P156" i="57" l="1"/>
  <c r="Y156" i="57" s="1"/>
  <c r="G156" i="57" s="1"/>
  <c r="Y128" i="57"/>
  <c r="P154" i="57"/>
  <c r="Y154" i="57" s="1"/>
  <c r="G154" i="57" s="1"/>
  <c r="Y127" i="57"/>
  <c r="Q128" i="57"/>
  <c r="R73" i="57"/>
  <c r="Q127" i="57"/>
  <c r="P166" i="57"/>
  <c r="P168" i="57" l="1"/>
  <c r="Y168" i="57" s="1"/>
  <c r="G168" i="57" s="1"/>
  <c r="AA73" i="57"/>
  <c r="I73" i="57" s="1"/>
  <c r="Y166" i="57"/>
  <c r="G166" i="57" s="1"/>
  <c r="Q156" i="57"/>
  <c r="Z128" i="57"/>
  <c r="Q154" i="57"/>
  <c r="Z154" i="57" s="1"/>
  <c r="H154" i="57" s="1"/>
  <c r="H191" i="57" s="1"/>
  <c r="Z127" i="57"/>
  <c r="R119" i="57"/>
  <c r="AA119" i="57" s="1"/>
  <c r="R123" i="57"/>
  <c r="AA123" i="57" s="1"/>
  <c r="R120" i="57"/>
  <c r="AA120" i="57" s="1"/>
  <c r="R124" i="57"/>
  <c r="AA124" i="57" s="1"/>
  <c r="R116" i="57"/>
  <c r="AA116" i="57" s="1"/>
  <c r="AC73" i="57" l="1"/>
  <c r="Q166" i="57"/>
  <c r="Z166" i="57" s="1"/>
  <c r="Z156" i="57"/>
  <c r="H156" i="57" s="1"/>
  <c r="H193" i="57" s="1"/>
  <c r="Q168" i="57"/>
  <c r="AD73" i="57"/>
  <c r="R128" i="57"/>
  <c r="S73" i="57"/>
  <c r="H166" i="57" l="1"/>
  <c r="R238" i="57" s="1"/>
  <c r="AB73" i="57"/>
  <c r="J73" i="57"/>
  <c r="R156" i="57"/>
  <c r="AA128" i="57"/>
  <c r="Z168" i="57"/>
  <c r="AE73" i="57"/>
  <c r="S119" i="57"/>
  <c r="AB119" i="57" s="1"/>
  <c r="S123" i="57"/>
  <c r="AB123" i="57" s="1"/>
  <c r="S120" i="57"/>
  <c r="AB120" i="57" s="1"/>
  <c r="S124" i="57"/>
  <c r="AB124" i="57" s="1"/>
  <c r="S116" i="57"/>
  <c r="AB116" i="57" s="1"/>
  <c r="H168" i="57" l="1"/>
  <c r="R240" i="57" s="1"/>
  <c r="R168" i="57"/>
  <c r="AA156" i="57"/>
  <c r="I156" i="57" s="1"/>
  <c r="I193" i="57" s="1"/>
  <c r="S128" i="57"/>
  <c r="T73" i="57"/>
  <c r="K73" i="57" s="1"/>
  <c r="U73" i="57" l="1"/>
  <c r="L73" i="57" s="1"/>
  <c r="S156" i="57"/>
  <c r="AB128" i="57"/>
  <c r="R226" i="57"/>
  <c r="O105" i="47" s="1"/>
  <c r="AA168" i="57"/>
  <c r="I168" i="57" s="1"/>
  <c r="T124" i="57"/>
  <c r="R90" i="57"/>
  <c r="T123" i="57"/>
  <c r="P90" i="57"/>
  <c r="S90" i="57"/>
  <c r="Q90" i="57"/>
  <c r="O124" i="57"/>
  <c r="X124" i="57" s="1"/>
  <c r="O123" i="57"/>
  <c r="X123" i="57" s="1"/>
  <c r="V73" i="57" l="1"/>
  <c r="M73" i="57" s="1"/>
  <c r="S125" i="57"/>
  <c r="AB125" i="57" s="1"/>
  <c r="AB90" i="57"/>
  <c r="Q125" i="57"/>
  <c r="Z125" i="57" s="1"/>
  <c r="Z90" i="57"/>
  <c r="P125" i="57"/>
  <c r="Y125" i="57" s="1"/>
  <c r="Y90" i="57"/>
  <c r="S168" i="57"/>
  <c r="AB156" i="57"/>
  <c r="J156" i="57" s="1"/>
  <c r="R125" i="57"/>
  <c r="AA125" i="57" s="1"/>
  <c r="AA90" i="57"/>
  <c r="U124" i="57"/>
  <c r="U123" i="57"/>
  <c r="T90" i="57"/>
  <c r="T125" i="57" s="1"/>
  <c r="O90" i="57"/>
  <c r="V90" i="57"/>
  <c r="U90" i="57"/>
  <c r="U125" i="57" s="1"/>
  <c r="V123" i="57" l="1"/>
  <c r="V124" i="57"/>
  <c r="V125" i="57"/>
  <c r="AB168" i="57"/>
  <c r="J168" i="57" s="1"/>
  <c r="O125" i="57"/>
  <c r="X125" i="57" s="1"/>
  <c r="X90" i="57"/>
  <c r="U85" i="57" l="1"/>
  <c r="V120" i="57"/>
  <c r="T119" i="57"/>
  <c r="S85" i="57"/>
  <c r="AB85" i="57" s="1"/>
  <c r="T85" i="57"/>
  <c r="T120" i="57"/>
  <c r="O85" i="57"/>
  <c r="X85" i="57" s="1"/>
  <c r="Q85" i="57"/>
  <c r="Z85" i="57" s="1"/>
  <c r="O120" i="57"/>
  <c r="X120" i="57" s="1"/>
  <c r="O121" i="57" l="1"/>
  <c r="X121" i="57" s="1"/>
  <c r="S121" i="57"/>
  <c r="AB121" i="57" s="1"/>
  <c r="Q121" i="57"/>
  <c r="Z121" i="57" s="1"/>
  <c r="T121" i="57"/>
  <c r="U121" i="57"/>
  <c r="P85" i="57"/>
  <c r="Y85" i="57" s="1"/>
  <c r="O119" i="57"/>
  <c r="X119" i="57" s="1"/>
  <c r="U120" i="57"/>
  <c r="V85" i="57"/>
  <c r="V119" i="57"/>
  <c r="R85" i="57"/>
  <c r="U119" i="57"/>
  <c r="P80" i="57"/>
  <c r="Y80" i="57" s="1"/>
  <c r="T116" i="57"/>
  <c r="T128" i="57" s="1"/>
  <c r="T156" i="57" s="1"/>
  <c r="T115" i="57"/>
  <c r="T127" i="57" s="1"/>
  <c r="T154" i="57" s="1"/>
  <c r="T80" i="57"/>
  <c r="O116" i="57"/>
  <c r="O115" i="57"/>
  <c r="X115" i="57" s="1"/>
  <c r="O128" i="57" l="1"/>
  <c r="X116" i="57"/>
  <c r="R121" i="57"/>
  <c r="AA121" i="57" s="1"/>
  <c r="AA85" i="57"/>
  <c r="P121" i="57"/>
  <c r="Y121" i="57" s="1"/>
  <c r="P117" i="57"/>
  <c r="V121" i="57"/>
  <c r="T117" i="57"/>
  <c r="T129" i="57" s="1"/>
  <c r="T153" i="57" s="1"/>
  <c r="O127" i="57"/>
  <c r="O240" i="57"/>
  <c r="P240" i="57" s="1"/>
  <c r="Q240" i="57" s="1"/>
  <c r="G193" i="57"/>
  <c r="O238" i="57"/>
  <c r="P238" i="57" s="1"/>
  <c r="Q238" i="57" s="1"/>
  <c r="T166" i="57"/>
  <c r="T168" i="57"/>
  <c r="V116" i="57"/>
  <c r="V128" i="57" s="1"/>
  <c r="V156" i="57" s="1"/>
  <c r="V80" i="57"/>
  <c r="G191" i="57"/>
  <c r="O80" i="57"/>
  <c r="X80" i="57" s="1"/>
  <c r="U115" i="57"/>
  <c r="U127" i="57" s="1"/>
  <c r="U154" i="57" s="1"/>
  <c r="R207" i="57"/>
  <c r="S207" i="57" s="1"/>
  <c r="T207" i="57" s="1"/>
  <c r="V115" i="57"/>
  <c r="V127" i="57" s="1"/>
  <c r="U116" i="57"/>
  <c r="U128" i="57" s="1"/>
  <c r="U156" i="57" s="1"/>
  <c r="U80" i="57"/>
  <c r="P129" i="57" l="1"/>
  <c r="P153" i="57" s="1"/>
  <c r="Y153" i="57" s="1"/>
  <c r="G153" i="57" s="1"/>
  <c r="Y117" i="57"/>
  <c r="Y129" i="57" s="1"/>
  <c r="O154" i="57"/>
  <c r="X127" i="57"/>
  <c r="O156" i="57"/>
  <c r="F156" i="57" s="1"/>
  <c r="X128" i="57"/>
  <c r="O117" i="57"/>
  <c r="U117" i="57"/>
  <c r="U129" i="57" s="1"/>
  <c r="U153" i="57" s="1"/>
  <c r="V117" i="57"/>
  <c r="V129" i="57" s="1"/>
  <c r="V155" i="57" s="1"/>
  <c r="T152" i="57"/>
  <c r="T155" i="57"/>
  <c r="O226" i="57"/>
  <c r="L105" i="47" s="1"/>
  <c r="AB240" i="57"/>
  <c r="S240" i="57"/>
  <c r="T240" i="57" s="1"/>
  <c r="U240" i="57" s="1"/>
  <c r="V240" i="57" s="1"/>
  <c r="W240" i="57" s="1"/>
  <c r="X240" i="57" s="1"/>
  <c r="Y240" i="57" s="1"/>
  <c r="Z240" i="57" s="1"/>
  <c r="AA240" i="57" s="1"/>
  <c r="T165" i="57"/>
  <c r="R205" i="57"/>
  <c r="S205" i="57" s="1"/>
  <c r="T205" i="57" s="1"/>
  <c r="O224" i="57"/>
  <c r="L103" i="47" s="1"/>
  <c r="U207" i="57"/>
  <c r="U166" i="57"/>
  <c r="U168" i="57"/>
  <c r="V168" i="57"/>
  <c r="X154" i="57" l="1"/>
  <c r="F154" i="57"/>
  <c r="P155" i="57"/>
  <c r="Y155" i="57" s="1"/>
  <c r="G155" i="57" s="1"/>
  <c r="P152" i="57"/>
  <c r="Y152" i="57" s="1"/>
  <c r="O129" i="57"/>
  <c r="X117" i="57"/>
  <c r="X129" i="57" s="1"/>
  <c r="X156" i="57"/>
  <c r="F193" i="57"/>
  <c r="O168" i="57"/>
  <c r="F168" i="57" s="1"/>
  <c r="T164" i="57"/>
  <c r="O166" i="57"/>
  <c r="F166" i="57" s="1"/>
  <c r="U152" i="57"/>
  <c r="U155" i="57"/>
  <c r="P165" i="57"/>
  <c r="G190" i="57"/>
  <c r="T167" i="57"/>
  <c r="P224" i="57"/>
  <c r="M103" i="47" s="1"/>
  <c r="P226" i="57"/>
  <c r="M105" i="47" s="1"/>
  <c r="F191" i="57"/>
  <c r="U165" i="57"/>
  <c r="V167" i="57"/>
  <c r="G152" i="57" l="1"/>
  <c r="G189" i="57" s="1"/>
  <c r="P167" i="57"/>
  <c r="Y167" i="57" s="1"/>
  <c r="G167" i="57" s="1"/>
  <c r="P164" i="57"/>
  <c r="Y164" i="57" s="1"/>
  <c r="Y165" i="57"/>
  <c r="X166" i="57"/>
  <c r="U167" i="57"/>
  <c r="X168" i="57"/>
  <c r="X193" i="57"/>
  <c r="Y193" i="57" s="1"/>
  <c r="Z193" i="57" s="1"/>
  <c r="AA193" i="57" s="1"/>
  <c r="K226" i="57"/>
  <c r="M226" i="57"/>
  <c r="N207" i="57"/>
  <c r="O207" i="57" s="1"/>
  <c r="P207" i="57"/>
  <c r="Q207" i="57" s="1"/>
  <c r="O193" i="57"/>
  <c r="P193" i="57" s="1"/>
  <c r="Q193" i="57" s="1"/>
  <c r="R193" i="57" s="1"/>
  <c r="U164" i="57"/>
  <c r="O152" i="57"/>
  <c r="F152" i="57" s="1"/>
  <c r="O155" i="57"/>
  <c r="F155" i="57" s="1"/>
  <c r="O153" i="57"/>
  <c r="F153" i="57" s="1"/>
  <c r="O223" i="57"/>
  <c r="L106" i="47" s="1"/>
  <c r="R204" i="57"/>
  <c r="Q224" i="57"/>
  <c r="N103" i="47" s="1"/>
  <c r="Q226" i="57"/>
  <c r="N105" i="47" s="1"/>
  <c r="K238" i="57"/>
  <c r="L238" i="57" s="1"/>
  <c r="M238" i="57"/>
  <c r="N238" i="57" s="1"/>
  <c r="M224" i="57"/>
  <c r="J103" i="47" s="1"/>
  <c r="K224" i="57"/>
  <c r="H103" i="47" s="1"/>
  <c r="P205" i="57"/>
  <c r="Q205" i="57" s="1"/>
  <c r="N205" i="57"/>
  <c r="O205" i="57" s="1"/>
  <c r="R203" i="57" l="1"/>
  <c r="O222" i="57"/>
  <c r="L104" i="47" s="1"/>
  <c r="G165" i="57"/>
  <c r="O237" i="57" s="1"/>
  <c r="G164" i="57"/>
  <c r="O236" i="57" s="1"/>
  <c r="H105" i="47"/>
  <c r="L226" i="57"/>
  <c r="I105" i="47" s="1"/>
  <c r="X153" i="57"/>
  <c r="O165" i="57"/>
  <c r="F165" i="57" s="1"/>
  <c r="F190" i="57"/>
  <c r="J105" i="47"/>
  <c r="N226" i="57"/>
  <c r="K105" i="47" s="1"/>
  <c r="X152" i="57"/>
  <c r="O164" i="57"/>
  <c r="F164" i="57" s="1"/>
  <c r="F189" i="57"/>
  <c r="K240" i="57"/>
  <c r="L240" i="57" s="1"/>
  <c r="M240" i="57"/>
  <c r="N240" i="57" s="1"/>
  <c r="X155" i="57"/>
  <c r="O167" i="57"/>
  <c r="F167" i="57" s="1"/>
  <c r="N224" i="57"/>
  <c r="K103" i="47" s="1"/>
  <c r="L224" i="57"/>
  <c r="I103" i="47" s="1"/>
  <c r="X164" i="57" l="1"/>
  <c r="O169" i="57"/>
  <c r="O178" i="57" s="1"/>
  <c r="X178" i="57" s="1"/>
  <c r="M223" i="57"/>
  <c r="P204" i="57"/>
  <c r="N204" i="57"/>
  <c r="O204" i="57" s="1"/>
  <c r="K223" i="57"/>
  <c r="Q204" i="57"/>
  <c r="X165" i="57"/>
  <c r="N203" i="57"/>
  <c r="O203" i="57" s="1"/>
  <c r="P203" i="57"/>
  <c r="Q203" i="57" s="1"/>
  <c r="K222" i="57"/>
  <c r="H104" i="47" s="1"/>
  <c r="M222" i="57"/>
  <c r="J104" i="47" s="1"/>
  <c r="X167" i="57"/>
  <c r="N222" i="57" l="1"/>
  <c r="K104" i="47" s="1"/>
  <c r="H106" i="47"/>
  <c r="L223" i="57"/>
  <c r="I106" i="47" s="1"/>
  <c r="J106" i="47"/>
  <c r="N223" i="57"/>
  <c r="K106" i="47" s="1"/>
  <c r="O176" i="57"/>
  <c r="X176" i="57" s="1"/>
  <c r="O173" i="57"/>
  <c r="X173" i="57" s="1"/>
  <c r="O174" i="57"/>
  <c r="X174" i="57" s="1"/>
  <c r="O177" i="57"/>
  <c r="X177" i="57" s="1"/>
  <c r="O179" i="57"/>
  <c r="X179" i="57" s="1"/>
  <c r="O172" i="57"/>
  <c r="M237" i="57"/>
  <c r="N237" i="57" s="1"/>
  <c r="K237" i="57"/>
  <c r="L237" i="57" s="1"/>
  <c r="O175" i="57"/>
  <c r="X175" i="57" s="1"/>
  <c r="F169" i="57"/>
  <c r="F172" i="57" s="1"/>
  <c r="M236" i="57"/>
  <c r="N236" i="57" s="1"/>
  <c r="K236" i="57"/>
  <c r="L236" i="57" s="1"/>
  <c r="L222" i="57"/>
  <c r="I104" i="47" s="1"/>
  <c r="X172" i="57" l="1"/>
  <c r="O181" i="57"/>
  <c r="O182" i="57" l="1"/>
  <c r="X182" i="57" s="1"/>
  <c r="X181" i="57"/>
  <c r="Q80" i="57" l="1"/>
  <c r="Z80" i="57" s="1"/>
  <c r="R78" i="57"/>
  <c r="I78" i="57" s="1"/>
  <c r="I80" i="57" s="1"/>
  <c r="AA78" i="57" l="1"/>
  <c r="S78" i="57"/>
  <c r="S115" i="57" s="1"/>
  <c r="Q117" i="57"/>
  <c r="R115" i="57"/>
  <c r="R80" i="57"/>
  <c r="AB78" i="57" l="1"/>
  <c r="J78" i="57"/>
  <c r="J80" i="57" s="1"/>
  <c r="R127" i="57"/>
  <c r="AA115" i="57"/>
  <c r="S127" i="57"/>
  <c r="AB115" i="57"/>
  <c r="Q129" i="57"/>
  <c r="Q153" i="57" s="1"/>
  <c r="Z153" i="57" s="1"/>
  <c r="H153" i="57" s="1"/>
  <c r="Z117" i="57"/>
  <c r="Z129" i="57" s="1"/>
  <c r="R117" i="57"/>
  <c r="AA80" i="57"/>
  <c r="S80" i="57"/>
  <c r="AB80" i="57" s="1"/>
  <c r="S117" i="57" l="1"/>
  <c r="Q152" i="57"/>
  <c r="Z152" i="57" s="1"/>
  <c r="S154" i="57"/>
  <c r="AB127" i="57"/>
  <c r="Q155" i="57"/>
  <c r="Z155" i="57" s="1"/>
  <c r="H155" i="57" s="1"/>
  <c r="R154" i="57"/>
  <c r="AA127" i="57"/>
  <c r="R129" i="57"/>
  <c r="AA117" i="57"/>
  <c r="AA129" i="57" s="1"/>
  <c r="Q165" i="57"/>
  <c r="H190" i="57"/>
  <c r="Q164" i="57"/>
  <c r="H152" i="57" l="1"/>
  <c r="H189" i="57" s="1"/>
  <c r="Q167" i="57"/>
  <c r="Z167" i="57"/>
  <c r="Z164" i="57"/>
  <c r="H164" i="57" s="1"/>
  <c r="AA154" i="57"/>
  <c r="I154" i="57" s="1"/>
  <c r="I191" i="57" s="1"/>
  <c r="R166" i="57"/>
  <c r="AB154" i="57"/>
  <c r="J154" i="57" s="1"/>
  <c r="S166" i="57"/>
  <c r="Z165" i="57"/>
  <c r="H165" i="57" s="1"/>
  <c r="R237" i="57" s="1"/>
  <c r="H192" i="57"/>
  <c r="S129" i="57"/>
  <c r="AB117" i="57"/>
  <c r="AB129" i="57" s="1"/>
  <c r="R155" i="57"/>
  <c r="R153" i="57"/>
  <c r="R152" i="57"/>
  <c r="S204" i="57"/>
  <c r="T204" i="57" s="1"/>
  <c r="P223" i="57"/>
  <c r="M106" i="47" s="1"/>
  <c r="S203" i="57" l="1"/>
  <c r="T203" i="57" s="1"/>
  <c r="P222" i="57"/>
  <c r="M104" i="47" s="1"/>
  <c r="H167" i="57"/>
  <c r="R239" i="57" s="1"/>
  <c r="P236" i="57"/>
  <c r="Q236" i="57" s="1"/>
  <c r="R236" i="57"/>
  <c r="R224" i="57"/>
  <c r="O103" i="47" s="1"/>
  <c r="X191" i="57"/>
  <c r="Y191" i="57" s="1"/>
  <c r="Z191" i="57" s="1"/>
  <c r="AA191" i="57" s="1"/>
  <c r="O191" i="57"/>
  <c r="P191" i="57" s="1"/>
  <c r="Q191" i="57" s="1"/>
  <c r="R191" i="57" s="1"/>
  <c r="AB166" i="57"/>
  <c r="J166" i="57" s="1"/>
  <c r="P237" i="57"/>
  <c r="Q237" i="57" s="1"/>
  <c r="AA166" i="57"/>
  <c r="I166" i="57" s="1"/>
  <c r="AB238" i="57" s="1"/>
  <c r="S153" i="57"/>
  <c r="S152" i="57"/>
  <c r="S155" i="57"/>
  <c r="AA152" i="57"/>
  <c r="I152" i="57" s="1"/>
  <c r="I189" i="57" s="1"/>
  <c r="R164" i="57"/>
  <c r="AA153" i="57"/>
  <c r="R165" i="57"/>
  <c r="AA155" i="57"/>
  <c r="I155" i="57" s="1"/>
  <c r="I192" i="57" s="1"/>
  <c r="R167" i="57"/>
  <c r="Q222" i="57"/>
  <c r="N104" i="47" s="1"/>
  <c r="Q223" i="57"/>
  <c r="N106" i="47" s="1"/>
  <c r="U205" i="57"/>
  <c r="I153" i="57" l="1"/>
  <c r="I190" i="57" s="1"/>
  <c r="AB153" i="57"/>
  <c r="J153" i="57" s="1"/>
  <c r="S165" i="57"/>
  <c r="S238" i="57"/>
  <c r="T238" i="57" s="1"/>
  <c r="U238" i="57" s="1"/>
  <c r="V238" i="57" s="1"/>
  <c r="W238" i="57" s="1"/>
  <c r="X238" i="57" s="1"/>
  <c r="Y238" i="57" s="1"/>
  <c r="Z238" i="57" s="1"/>
  <c r="AA238" i="57" s="1"/>
  <c r="AB152" i="57"/>
  <c r="J152" i="57" s="1"/>
  <c r="S164" i="57"/>
  <c r="AB155" i="57"/>
  <c r="J155" i="57" s="1"/>
  <c r="S167" i="57"/>
  <c r="AA167" i="57"/>
  <c r="I167" i="57" s="1"/>
  <c r="R225" i="57"/>
  <c r="O107" i="47" s="1"/>
  <c r="AA165" i="57"/>
  <c r="I165" i="57" s="1"/>
  <c r="O189" i="57"/>
  <c r="P189" i="57" s="1"/>
  <c r="Q189" i="57" s="1"/>
  <c r="R189" i="57" s="1"/>
  <c r="X189" i="57"/>
  <c r="Y189" i="57" s="1"/>
  <c r="Z189" i="57" s="1"/>
  <c r="AA189" i="57" s="1"/>
  <c r="R222" i="57"/>
  <c r="O104" i="47" s="1"/>
  <c r="AA164" i="57"/>
  <c r="I164" i="57" s="1"/>
  <c r="O190" i="57" l="1"/>
  <c r="P190" i="57" s="1"/>
  <c r="Q190" i="57" s="1"/>
  <c r="R190" i="57" s="1"/>
  <c r="X190" i="57"/>
  <c r="Y190" i="57" s="1"/>
  <c r="Z190" i="57" s="1"/>
  <c r="AA190" i="57" s="1"/>
  <c r="R223" i="57"/>
  <c r="O106" i="47" s="1"/>
  <c r="AB164" i="57"/>
  <c r="J164" i="57" s="1"/>
  <c r="AB165" i="57"/>
  <c r="J165" i="57" s="1"/>
  <c r="AB167" i="57"/>
  <c r="J167" i="57" s="1"/>
  <c r="V153" i="57" l="1"/>
  <c r="V152" i="57"/>
  <c r="V154" i="57"/>
  <c r="V166" i="57" l="1"/>
  <c r="V165" i="57"/>
  <c r="V164" i="57"/>
  <c r="S237" i="57" l="1"/>
  <c r="T237" i="57" s="1"/>
  <c r="U237" i="57" s="1"/>
  <c r="V237" i="57" s="1"/>
  <c r="W237" i="57" s="1"/>
  <c r="X237" i="57" s="1"/>
  <c r="Y237" i="57" s="1"/>
  <c r="Z237" i="57" s="1"/>
  <c r="AA237" i="57" s="1"/>
  <c r="AB237" i="57"/>
  <c r="O239" i="57"/>
  <c r="P239" i="57" s="1"/>
  <c r="Q239" i="57" s="1"/>
  <c r="S236" i="57"/>
  <c r="T236" i="57" s="1"/>
  <c r="U236" i="57" s="1"/>
  <c r="V236" i="57" s="1"/>
  <c r="W236" i="57" s="1"/>
  <c r="X236" i="57" s="1"/>
  <c r="Y236" i="57" s="1"/>
  <c r="Z236" i="57" s="1"/>
  <c r="AA236" i="57" s="1"/>
  <c r="AB236" i="57"/>
  <c r="S239" i="57"/>
  <c r="T239" i="57" s="1"/>
  <c r="U239" i="57" s="1"/>
  <c r="V239" i="57" s="1"/>
  <c r="W239" i="57" s="1"/>
  <c r="X239" i="57" s="1"/>
  <c r="Y239" i="57" s="1"/>
  <c r="Z239" i="57" s="1"/>
  <c r="AA239" i="57" s="1"/>
  <c r="AB239" i="57"/>
  <c r="F192" i="57"/>
  <c r="G192" i="57"/>
  <c r="U203" i="57"/>
  <c r="O192" i="57" l="1"/>
  <c r="P192" i="57" s="1"/>
  <c r="Q192" i="57" s="1"/>
  <c r="R192" i="57" s="1"/>
  <c r="X192" i="57"/>
  <c r="Y192" i="57" s="1"/>
  <c r="Z192" i="57" s="1"/>
  <c r="AA192" i="57" s="1"/>
  <c r="N206" i="57"/>
  <c r="O206" i="57" s="1"/>
  <c r="K225" i="57"/>
  <c r="H107" i="47" s="1"/>
  <c r="M225" i="57"/>
  <c r="J107" i="47" s="1"/>
  <c r="P206" i="57"/>
  <c r="Q206" i="57" s="1"/>
  <c r="AC138" i="57"/>
  <c r="X169" i="57"/>
  <c r="U204" i="57"/>
  <c r="U206" i="57"/>
  <c r="R206" i="57"/>
  <c r="S206" i="57" s="1"/>
  <c r="T206" i="57" s="1"/>
  <c r="O225" i="57"/>
  <c r="L107" i="47" s="1"/>
  <c r="M239" i="57"/>
  <c r="N239" i="57" s="1"/>
  <c r="K239" i="57"/>
  <c r="L239" i="57" s="1"/>
  <c r="F178" i="57"/>
  <c r="N225" i="57" l="1"/>
  <c r="K107" i="47" s="1"/>
  <c r="P225" i="57"/>
  <c r="M107" i="47" s="1"/>
  <c r="AC137" i="57"/>
  <c r="AD138" i="57"/>
  <c r="F174" i="57"/>
  <c r="F175" i="57"/>
  <c r="F176" i="57"/>
  <c r="F179" i="57"/>
  <c r="F173" i="57"/>
  <c r="F177" i="57"/>
  <c r="L225" i="57"/>
  <c r="I107" i="47" s="1"/>
  <c r="Q225" i="57" l="1"/>
  <c r="N107" i="47" s="1"/>
  <c r="F181" i="57"/>
  <c r="F182" i="57" s="1"/>
  <c r="AE138" i="57"/>
  <c r="AE137" i="57" s="1"/>
  <c r="AD137" i="57"/>
  <c r="U150" i="57" l="1"/>
  <c r="V150" i="57"/>
  <c r="U151" i="57"/>
  <c r="V151" i="57"/>
  <c r="Q162" i="57"/>
  <c r="Z162" i="57" s="1"/>
  <c r="H162" i="57" s="1"/>
  <c r="U162" i="57"/>
  <c r="AD162" i="57" s="1" a="1"/>
  <c r="AD162" i="57" s="1"/>
  <c r="L162" i="57" s="1"/>
  <c r="AE162" i="57" a="1"/>
  <c r="AE162" i="57" s="1"/>
  <c r="M162" i="57" s="1"/>
  <c r="T162" i="57"/>
  <c r="AC162" i="57" s="1" a="1"/>
  <c r="AC162" i="57" s="1"/>
  <c r="R163" i="57"/>
  <c r="AA163" i="57" s="1"/>
  <c r="I163" i="57" s="1"/>
  <c r="T151" i="57"/>
  <c r="R151" i="57"/>
  <c r="R162" i="57"/>
  <c r="AA162" i="57" s="1"/>
  <c r="I162" i="57" s="1"/>
  <c r="U132" i="57"/>
  <c r="T150" i="57"/>
  <c r="R150" i="57"/>
  <c r="V132" i="57"/>
  <c r="T163" i="57"/>
  <c r="AC163" i="57" s="1" a="1"/>
  <c r="AC163" i="57" s="1"/>
  <c r="U163" i="57"/>
  <c r="T132" i="57"/>
  <c r="R132" i="57"/>
  <c r="I132" i="57" s="1"/>
  <c r="P162" i="57"/>
  <c r="S163" i="57"/>
  <c r="AB163" i="57" s="1"/>
  <c r="J163" i="57" s="1"/>
  <c r="V163" i="57"/>
  <c r="AE163" i="57" s="1" a="1"/>
  <c r="AE163" i="57" s="1"/>
  <c r="M163" i="57" s="1"/>
  <c r="Q150" i="57"/>
  <c r="T161" i="57" l="1"/>
  <c r="AC161" i="57" s="1" a="1"/>
  <c r="AC161" i="57" s="1"/>
  <c r="AC149" i="57" s="1"/>
  <c r="K132" i="57"/>
  <c r="V161" i="57"/>
  <c r="V169" i="57" s="1"/>
  <c r="V172" i="57" s="1"/>
  <c r="M132" i="57"/>
  <c r="U149" i="57"/>
  <c r="L132" i="57"/>
  <c r="AC150" i="57"/>
  <c r="K150" i="57" s="1"/>
  <c r="K187" i="57" s="1"/>
  <c r="K162" i="57"/>
  <c r="AV234" i="57" s="1"/>
  <c r="AW234" i="57" s="1"/>
  <c r="AX234" i="57" s="1"/>
  <c r="AC151" i="57"/>
  <c r="K151" i="57" s="1"/>
  <c r="K188" i="57" s="1"/>
  <c r="K163" i="57"/>
  <c r="Z150" i="57"/>
  <c r="Y162" i="57"/>
  <c r="G162" i="57" s="1"/>
  <c r="R149" i="57"/>
  <c r="AA149" i="57" s="1"/>
  <c r="AA132" i="57"/>
  <c r="AA151" i="57"/>
  <c r="AA150" i="57"/>
  <c r="AB235" i="57"/>
  <c r="U161" i="57"/>
  <c r="AD161" i="57" s="1" a="1"/>
  <c r="AD161" i="57" s="1"/>
  <c r="L161" i="57" s="1"/>
  <c r="R161" i="57"/>
  <c r="AA161" i="57" s="1"/>
  <c r="I161" i="57" s="1"/>
  <c r="AE150" i="57"/>
  <c r="T169" i="57"/>
  <c r="T173" i="57" s="1"/>
  <c r="AD150" i="57"/>
  <c r="AE151" i="57"/>
  <c r="T149" i="57"/>
  <c r="S162" i="57"/>
  <c r="AB162" i="57" s="1"/>
  <c r="J162" i="57" s="1"/>
  <c r="S132" i="57"/>
  <c r="AD163" i="57" a="1"/>
  <c r="AD163" i="57" s="1"/>
  <c r="L163" i="57" s="1"/>
  <c r="P150" i="57"/>
  <c r="P151" i="57"/>
  <c r="S150" i="57"/>
  <c r="P163" i="57"/>
  <c r="Y163" i="57" s="1"/>
  <c r="G163" i="57" s="1"/>
  <c r="S151" i="57"/>
  <c r="V149" i="57"/>
  <c r="P132" i="57"/>
  <c r="Q132" i="57"/>
  <c r="K161" i="57" l="1"/>
  <c r="AE161" i="57" a="1"/>
  <c r="AE161" i="57" s="1"/>
  <c r="AE183" i="57" s="1"/>
  <c r="AB132" i="57"/>
  <c r="J132" i="57"/>
  <c r="Z132" i="57"/>
  <c r="H132" i="57"/>
  <c r="Y132" i="57"/>
  <c r="G132" i="57"/>
  <c r="AB220" i="57"/>
  <c r="Y102" i="47" s="1"/>
  <c r="AE201" i="57"/>
  <c r="M161" i="57"/>
  <c r="K149" i="57"/>
  <c r="K186" i="57" s="1"/>
  <c r="AB219" i="57" s="1"/>
  <c r="Y100" i="47" s="1"/>
  <c r="AE202" i="57"/>
  <c r="AB221" i="57"/>
  <c r="Y101" i="47" s="1"/>
  <c r="M150" i="57"/>
  <c r="M187" i="57" s="1"/>
  <c r="AN220" i="57" s="1"/>
  <c r="H150" i="57"/>
  <c r="H187" i="57" s="1"/>
  <c r="T201" i="57" s="1"/>
  <c r="L150" i="57"/>
  <c r="L187" i="57" s="1"/>
  <c r="I149" i="57"/>
  <c r="M151" i="57"/>
  <c r="M188" i="57" s="1"/>
  <c r="AN221" i="57" s="1"/>
  <c r="I150" i="57"/>
  <c r="I187" i="57" s="1"/>
  <c r="I151" i="57"/>
  <c r="I188" i="57" s="1"/>
  <c r="U169" i="57"/>
  <c r="U174" i="57" s="1"/>
  <c r="O234" i="57"/>
  <c r="P234" i="57" s="1"/>
  <c r="Q234" i="57" s="1"/>
  <c r="N234" i="57"/>
  <c r="AB150" i="57"/>
  <c r="J150" i="57" s="1"/>
  <c r="J187" i="57" s="1"/>
  <c r="Y150" i="57"/>
  <c r="AA169" i="57"/>
  <c r="AA183" i="57"/>
  <c r="Y151" i="57"/>
  <c r="AB151" i="57"/>
  <c r="J151" i="57" s="1"/>
  <c r="J188" i="57" s="1"/>
  <c r="V202" i="57" s="1"/>
  <c r="W202" i="57" s="1"/>
  <c r="X202" i="57" s="1"/>
  <c r="Y202" i="57" s="1"/>
  <c r="Z202" i="57" s="1"/>
  <c r="AA202" i="57" s="1"/>
  <c r="AB202" i="57" s="1"/>
  <c r="AC202" i="57" s="1"/>
  <c r="AD202" i="57" s="1"/>
  <c r="V173" i="57"/>
  <c r="T174" i="57"/>
  <c r="R169" i="57"/>
  <c r="Q161" i="57"/>
  <c r="Z161" i="57" s="1"/>
  <c r="H161" i="57" s="1"/>
  <c r="Q149" i="57"/>
  <c r="P161" i="57"/>
  <c r="Y161" i="57" s="1"/>
  <c r="G161" i="57" s="1"/>
  <c r="P149" i="57"/>
  <c r="AB234" i="57"/>
  <c r="AL235" i="57"/>
  <c r="AM235" i="57" s="1"/>
  <c r="AN235" i="57" s="1"/>
  <c r="AO235" i="57" s="1"/>
  <c r="AP235" i="57" s="1"/>
  <c r="AQ235" i="57" s="1"/>
  <c r="AR235" i="57" s="1"/>
  <c r="AS235" i="57" s="1"/>
  <c r="AT235" i="57" s="1"/>
  <c r="AU235" i="57" s="1"/>
  <c r="AC235" i="57"/>
  <c r="AD235" i="57" s="1"/>
  <c r="AE235" i="57" s="1"/>
  <c r="AF235" i="57" s="1"/>
  <c r="AG235" i="57" s="1"/>
  <c r="AH235" i="57" s="1"/>
  <c r="AI235" i="57" s="1"/>
  <c r="AJ235" i="57" s="1"/>
  <c r="AK235" i="57" s="1"/>
  <c r="V178" i="57"/>
  <c r="V179" i="57"/>
  <c r="V175" i="57"/>
  <c r="V176" i="57"/>
  <c r="V174" i="57"/>
  <c r="V177" i="57"/>
  <c r="AV235" i="57"/>
  <c r="AW235" i="57" s="1"/>
  <c r="AX235" i="57" s="1"/>
  <c r="T175" i="57"/>
  <c r="AG175" i="57" s="1"/>
  <c r="T176" i="57"/>
  <c r="AG176" i="57" s="1"/>
  <c r="T177" i="57"/>
  <c r="AG177" i="57" s="1"/>
  <c r="T179" i="57"/>
  <c r="AG179" i="57" s="1"/>
  <c r="T178" i="57"/>
  <c r="AG178" i="57" s="1"/>
  <c r="Q163" i="57"/>
  <c r="Z163" i="57" s="1"/>
  <c r="H163" i="57" s="1"/>
  <c r="Q151" i="57"/>
  <c r="AD151" i="57"/>
  <c r="AC183" i="57"/>
  <c r="AV233" i="57"/>
  <c r="AW233" i="57" s="1"/>
  <c r="AX233" i="57" s="1"/>
  <c r="AD149" i="57"/>
  <c r="AD183" i="57"/>
  <c r="AE149" i="57"/>
  <c r="S161" i="57"/>
  <c r="AB161" i="57" s="1"/>
  <c r="J161" i="57" s="1"/>
  <c r="S149" i="57"/>
  <c r="R234" i="57"/>
  <c r="S234" i="57" s="1"/>
  <c r="T234" i="57" s="1"/>
  <c r="U234" i="57" s="1"/>
  <c r="V234" i="57" s="1"/>
  <c r="W234" i="57" s="1"/>
  <c r="X234" i="57" s="1"/>
  <c r="Y234" i="57" s="1"/>
  <c r="Z234" i="57" s="1"/>
  <c r="AA234" i="57" s="1"/>
  <c r="T172" i="57"/>
  <c r="K112" i="57" l="1"/>
  <c r="U177" i="57"/>
  <c r="U176" i="57"/>
  <c r="U178" i="57"/>
  <c r="U172" i="57"/>
  <c r="U175" i="57"/>
  <c r="U201" i="57"/>
  <c r="R220" i="57"/>
  <c r="O102" i="47" s="1"/>
  <c r="X187" i="57"/>
  <c r="Y187" i="57" s="1"/>
  <c r="Z187" i="57" s="1"/>
  <c r="AA187" i="57" s="1"/>
  <c r="AB187" i="57" s="1"/>
  <c r="AC187" i="57" s="1"/>
  <c r="AD187" i="57" s="1"/>
  <c r="AE187" i="57" s="1"/>
  <c r="AF187" i="57" s="1"/>
  <c r="AG187" i="57" s="1"/>
  <c r="AH187" i="57" s="1"/>
  <c r="AI187" i="57" s="1"/>
  <c r="AJ187" i="57" s="1"/>
  <c r="AK187" i="57" s="1"/>
  <c r="AL187" i="57" s="1"/>
  <c r="AM187" i="57" s="1"/>
  <c r="AN187" i="57" s="1"/>
  <c r="AO187" i="57" s="1"/>
  <c r="AP187" i="57" s="1"/>
  <c r="AQ187" i="57" s="1"/>
  <c r="AR187" i="57" s="1"/>
  <c r="I112" i="57"/>
  <c r="U179" i="57"/>
  <c r="X188" i="57"/>
  <c r="Y188" i="57" s="1"/>
  <c r="Z188" i="57" s="1"/>
  <c r="AA188" i="57" s="1"/>
  <c r="AB188" i="57" s="1"/>
  <c r="AC188" i="57" s="1"/>
  <c r="O188" i="57"/>
  <c r="P188" i="57" s="1"/>
  <c r="Q188" i="57" s="1"/>
  <c r="R188" i="57" s="1"/>
  <c r="S188" i="57" s="1"/>
  <c r="T188" i="57" s="1"/>
  <c r="U202" i="57"/>
  <c r="AL220" i="57"/>
  <c r="AM220" i="57" s="1"/>
  <c r="AC220" i="57"/>
  <c r="Z102" i="47" s="1"/>
  <c r="AO201" i="57"/>
  <c r="AP201" i="57" s="1"/>
  <c r="AQ201" i="57" s="1"/>
  <c r="AR201" i="57" s="1"/>
  <c r="AS201" i="57" s="1"/>
  <c r="AF201" i="57"/>
  <c r="AG201" i="57" s="1"/>
  <c r="AH201" i="57" s="1"/>
  <c r="AI201" i="57" s="1"/>
  <c r="AJ201" i="57" s="1"/>
  <c r="AK201" i="57" s="1"/>
  <c r="AL201" i="57" s="1"/>
  <c r="AM201" i="57" s="1"/>
  <c r="AN201" i="57" s="1"/>
  <c r="S220" i="57"/>
  <c r="T220" i="57" s="1"/>
  <c r="V201" i="57"/>
  <c r="W201" i="57" s="1"/>
  <c r="X201" i="57" s="1"/>
  <c r="Y201" i="57" s="1"/>
  <c r="Z201" i="57" s="1"/>
  <c r="AA201" i="57" s="1"/>
  <c r="AB201" i="57" s="1"/>
  <c r="AC201" i="57" s="1"/>
  <c r="AD201" i="57" s="1"/>
  <c r="I186" i="57"/>
  <c r="L151" i="57"/>
  <c r="L188" i="57" s="1"/>
  <c r="G151" i="57"/>
  <c r="G188" i="57" s="1"/>
  <c r="U173" i="57"/>
  <c r="U181" i="57" s="1"/>
  <c r="U182" i="57" s="1"/>
  <c r="G150" i="57"/>
  <c r="G187" i="57" s="1"/>
  <c r="L149" i="57"/>
  <c r="L186" i="57" s="1"/>
  <c r="AO200" i="57" s="1"/>
  <c r="M149" i="57"/>
  <c r="M186" i="57" s="1"/>
  <c r="O187" i="57"/>
  <c r="P187" i="57" s="1"/>
  <c r="Q187" i="57" s="1"/>
  <c r="R187" i="57" s="1"/>
  <c r="S187" i="57" s="1"/>
  <c r="T187" i="57" s="1"/>
  <c r="U187" i="57" s="1"/>
  <c r="V187" i="57" s="1"/>
  <c r="T181" i="57"/>
  <c r="T182" i="57" s="1"/>
  <c r="Z149" i="57"/>
  <c r="H149" i="57" s="1"/>
  <c r="Z183" i="57"/>
  <c r="Z169" i="57"/>
  <c r="Z151" i="57"/>
  <c r="Y149" i="57"/>
  <c r="G149" i="57" s="1"/>
  <c r="AB149" i="57"/>
  <c r="J149" i="57" s="1"/>
  <c r="Y183" i="57"/>
  <c r="Y169" i="57"/>
  <c r="AB169" i="57"/>
  <c r="AB183" i="57"/>
  <c r="V181" i="57"/>
  <c r="V182" i="57" s="1"/>
  <c r="AB233" i="57"/>
  <c r="I169" i="57"/>
  <c r="R172" i="57"/>
  <c r="AA172" i="57" s="1"/>
  <c r="R179" i="57"/>
  <c r="AA179" i="57" s="1"/>
  <c r="R178" i="57"/>
  <c r="AA178" i="57" s="1"/>
  <c r="R175" i="57"/>
  <c r="AA175" i="57" s="1"/>
  <c r="R174" i="57"/>
  <c r="AA174" i="57" s="1"/>
  <c r="R177" i="57"/>
  <c r="AA177" i="57" s="1"/>
  <c r="R173" i="57"/>
  <c r="AA173" i="57" s="1"/>
  <c r="R176" i="57"/>
  <c r="AA176" i="57" s="1"/>
  <c r="AC234" i="57"/>
  <c r="AD234" i="57" s="1"/>
  <c r="AE234" i="57" s="1"/>
  <c r="AF234" i="57" s="1"/>
  <c r="AG234" i="57" s="1"/>
  <c r="AH234" i="57" s="1"/>
  <c r="AI234" i="57" s="1"/>
  <c r="AJ234" i="57" s="1"/>
  <c r="AK234" i="57" s="1"/>
  <c r="AL234" i="57"/>
  <c r="AM234" i="57" s="1"/>
  <c r="AN234" i="57" s="1"/>
  <c r="AO234" i="57" s="1"/>
  <c r="AP234" i="57" s="1"/>
  <c r="AQ234" i="57" s="1"/>
  <c r="AR234" i="57" s="1"/>
  <c r="AS234" i="57" s="1"/>
  <c r="AT234" i="57" s="1"/>
  <c r="AU234" i="57" s="1"/>
  <c r="AE200" i="57"/>
  <c r="AG180" i="57"/>
  <c r="AI177" i="57" s="1"/>
  <c r="S169" i="57"/>
  <c r="S172" i="57" s="1"/>
  <c r="AB172" i="57" s="1"/>
  <c r="R221" i="57"/>
  <c r="O101" i="47" s="1"/>
  <c r="AD220" i="57"/>
  <c r="P169" i="57"/>
  <c r="P172" i="57" s="1"/>
  <c r="Y172" i="57" s="1"/>
  <c r="O235" i="57"/>
  <c r="N235" i="57"/>
  <c r="Q169" i="57"/>
  <c r="Q172" i="57" s="1"/>
  <c r="Z172" i="57" s="1"/>
  <c r="AI102" i="47" l="1"/>
  <c r="P102" i="47"/>
  <c r="G112" i="57"/>
  <c r="AO202" i="57"/>
  <c r="AP202" i="57" s="1"/>
  <c r="AQ202" i="57" s="1"/>
  <c r="AR202" i="57" s="1"/>
  <c r="AS202" i="57" s="1"/>
  <c r="AF202" i="57"/>
  <c r="AG202" i="57" s="1"/>
  <c r="AH202" i="57" s="1"/>
  <c r="AI202" i="57" s="1"/>
  <c r="AJ202" i="57" s="1"/>
  <c r="AK202" i="57" s="1"/>
  <c r="AL202" i="57" s="1"/>
  <c r="AM202" i="57" s="1"/>
  <c r="AN202" i="57" s="1"/>
  <c r="AP200" i="57"/>
  <c r="AQ200" i="57" s="1"/>
  <c r="AR200" i="57" s="1"/>
  <c r="AS200" i="57" s="1"/>
  <c r="L112" i="57"/>
  <c r="AF200" i="57"/>
  <c r="AG200" i="57" s="1"/>
  <c r="AH200" i="57" s="1"/>
  <c r="AI200" i="57" s="1"/>
  <c r="AJ200" i="57" s="1"/>
  <c r="AK200" i="57" s="1"/>
  <c r="AL200" i="57" s="1"/>
  <c r="AM200" i="57" s="1"/>
  <c r="AN200" i="57" s="1"/>
  <c r="N220" i="57"/>
  <c r="K102" i="47" s="1"/>
  <c r="O220" i="57"/>
  <c r="L102" i="47" s="1"/>
  <c r="R201" i="57"/>
  <c r="S201" i="57" s="1"/>
  <c r="Q201" i="57"/>
  <c r="N221" i="57"/>
  <c r="K101" i="47" s="1"/>
  <c r="Q202" i="57"/>
  <c r="R202" i="57"/>
  <c r="O221" i="57"/>
  <c r="L101" i="47" s="1"/>
  <c r="AL221" i="57"/>
  <c r="AM221" i="57" s="1"/>
  <c r="U200" i="57"/>
  <c r="O186" i="57"/>
  <c r="P186" i="57" s="1"/>
  <c r="Q186" i="57" s="1"/>
  <c r="R186" i="57" s="1"/>
  <c r="S186" i="57" s="1"/>
  <c r="T186" i="57" s="1"/>
  <c r="U186" i="57" s="1"/>
  <c r="V186" i="57" s="1"/>
  <c r="X186" i="57"/>
  <c r="Y186" i="57" s="1"/>
  <c r="Z186" i="57" s="1"/>
  <c r="AA186" i="57" s="1"/>
  <c r="AB186" i="57" s="1"/>
  <c r="AC186" i="57" s="1"/>
  <c r="AD186" i="57" s="1"/>
  <c r="AE186" i="57" s="1"/>
  <c r="AF186" i="57" s="1"/>
  <c r="AG186" i="57" s="1"/>
  <c r="AH186" i="57" s="1"/>
  <c r="AI186" i="57" s="1"/>
  <c r="AJ186" i="57" s="1"/>
  <c r="AK186" i="57" s="1"/>
  <c r="AL186" i="57" s="1"/>
  <c r="AM186" i="57" s="1"/>
  <c r="AN186" i="57" s="1"/>
  <c r="AO186" i="57" s="1"/>
  <c r="AP186" i="57" s="1"/>
  <c r="AQ186" i="57" s="1"/>
  <c r="AR186" i="57" s="1"/>
  <c r="H151" i="57"/>
  <c r="H188" i="57" s="1"/>
  <c r="M112" i="57"/>
  <c r="U188" i="57"/>
  <c r="V188" i="57" s="1"/>
  <c r="AC221" i="57"/>
  <c r="Z101" i="47" s="1"/>
  <c r="AD188" i="57"/>
  <c r="AE188" i="57" s="1"/>
  <c r="AF188" i="57" s="1"/>
  <c r="AG188" i="57" s="1"/>
  <c r="AH188" i="57" s="1"/>
  <c r="AI188" i="57" s="1"/>
  <c r="AJ188" i="57" s="1"/>
  <c r="AK188" i="57" s="1"/>
  <c r="AL188" i="57" s="1"/>
  <c r="AM188" i="57" s="1"/>
  <c r="AN188" i="57" s="1"/>
  <c r="AO188" i="57" s="1"/>
  <c r="AP188" i="57" s="1"/>
  <c r="AQ188" i="57" s="1"/>
  <c r="AR188" i="57" s="1"/>
  <c r="J186" i="57"/>
  <c r="J112" i="57"/>
  <c r="H186" i="57"/>
  <c r="T200" i="57" s="1"/>
  <c r="G186" i="57"/>
  <c r="O219" i="57" s="1"/>
  <c r="L100" i="47" s="1"/>
  <c r="AI175" i="57"/>
  <c r="AM175" i="57" s="1"/>
  <c r="AI178" i="57"/>
  <c r="AM178" i="57" s="1"/>
  <c r="R181" i="57"/>
  <c r="AI179" i="57"/>
  <c r="AJ179" i="57" s="1"/>
  <c r="I174" i="57"/>
  <c r="I176" i="57"/>
  <c r="I175" i="57"/>
  <c r="I177" i="57"/>
  <c r="I172" i="57"/>
  <c r="I179" i="57"/>
  <c r="I173" i="57"/>
  <c r="I178" i="57"/>
  <c r="S221" i="57"/>
  <c r="P101" i="47" s="1"/>
  <c r="S178" i="57"/>
  <c r="AB178" i="57" s="1"/>
  <c r="S177" i="57"/>
  <c r="AB177" i="57" s="1"/>
  <c r="S175" i="57"/>
  <c r="AB175" i="57" s="1"/>
  <c r="S176" i="57"/>
  <c r="AB176" i="57" s="1"/>
  <c r="S179" i="57"/>
  <c r="AB179" i="57" s="1"/>
  <c r="S174" i="57"/>
  <c r="AB174" i="57" s="1"/>
  <c r="S173" i="57"/>
  <c r="AB173" i="57" s="1"/>
  <c r="Q175" i="57"/>
  <c r="Z175" i="57" s="1"/>
  <c r="Q177" i="57"/>
  <c r="Z177" i="57" s="1"/>
  <c r="Q176" i="57"/>
  <c r="Z176" i="57" s="1"/>
  <c r="Q179" i="57"/>
  <c r="Z179" i="57" s="1"/>
  <c r="Q178" i="57"/>
  <c r="Z178" i="57" s="1"/>
  <c r="Q173" i="57"/>
  <c r="Z173" i="57" s="1"/>
  <c r="AA102" i="47"/>
  <c r="AE220" i="57"/>
  <c r="AC233" i="57"/>
  <c r="AD233" i="57" s="1"/>
  <c r="AE233" i="57" s="1"/>
  <c r="AF233" i="57" s="1"/>
  <c r="AG233" i="57" s="1"/>
  <c r="AH233" i="57" s="1"/>
  <c r="AI233" i="57" s="1"/>
  <c r="AJ233" i="57" s="1"/>
  <c r="AK233" i="57" s="1"/>
  <c r="AL233" i="57"/>
  <c r="AM233" i="57" s="1"/>
  <c r="AN233" i="57" s="1"/>
  <c r="AO233" i="57" s="1"/>
  <c r="AP233" i="57" s="1"/>
  <c r="AQ233" i="57" s="1"/>
  <c r="AR233" i="57" s="1"/>
  <c r="AS233" i="57" s="1"/>
  <c r="AT233" i="57" s="1"/>
  <c r="AU233" i="57" s="1"/>
  <c r="R233" i="57"/>
  <c r="S233" i="57" s="1"/>
  <c r="T233" i="57" s="1"/>
  <c r="U233" i="57" s="1"/>
  <c r="V233" i="57" s="1"/>
  <c r="W233" i="57" s="1"/>
  <c r="X233" i="57" s="1"/>
  <c r="Y233" i="57" s="1"/>
  <c r="Z233" i="57" s="1"/>
  <c r="AA233" i="57" s="1"/>
  <c r="H169" i="57"/>
  <c r="H172" i="57" s="1"/>
  <c r="R219" i="57"/>
  <c r="O100" i="47" s="1"/>
  <c r="G169" i="57"/>
  <c r="G172" i="57" s="1"/>
  <c r="O233" i="57"/>
  <c r="P233" i="57" s="1"/>
  <c r="Q233" i="57" s="1"/>
  <c r="N233" i="57"/>
  <c r="Q102" i="47"/>
  <c r="U220" i="57"/>
  <c r="P235" i="57"/>
  <c r="Q235" i="57" s="1"/>
  <c r="R235" i="57"/>
  <c r="S235" i="57" s="1"/>
  <c r="T235" i="57" s="1"/>
  <c r="U235" i="57" s="1"/>
  <c r="V235" i="57" s="1"/>
  <c r="W235" i="57" s="1"/>
  <c r="X235" i="57" s="1"/>
  <c r="Y235" i="57" s="1"/>
  <c r="Z235" i="57" s="1"/>
  <c r="AA235" i="57" s="1"/>
  <c r="P175" i="57"/>
  <c r="Y175" i="57" s="1"/>
  <c r="P178" i="57"/>
  <c r="Y178" i="57" s="1"/>
  <c r="P177" i="57"/>
  <c r="Y177" i="57" s="1"/>
  <c r="P176" i="57"/>
  <c r="Y176" i="57" s="1"/>
  <c r="P173" i="57"/>
  <c r="Y173" i="57" s="1"/>
  <c r="P179" i="57"/>
  <c r="Y179" i="57" s="1"/>
  <c r="P174" i="57"/>
  <c r="Y174" i="57" s="1"/>
  <c r="V200" i="57"/>
  <c r="W200" i="57" s="1"/>
  <c r="X200" i="57" s="1"/>
  <c r="Y200" i="57" s="1"/>
  <c r="Z200" i="57" s="1"/>
  <c r="AA200" i="57" s="1"/>
  <c r="AB200" i="57" s="1"/>
  <c r="AC200" i="57" s="1"/>
  <c r="AD200" i="57" s="1"/>
  <c r="AC219" i="57"/>
  <c r="Z100" i="47" s="1"/>
  <c r="AL219" i="57"/>
  <c r="Q174" i="57"/>
  <c r="Q220" i="57"/>
  <c r="N102" i="47" s="1"/>
  <c r="AJ177" i="57"/>
  <c r="AM177" i="57"/>
  <c r="AI166" i="57"/>
  <c r="H112" i="57" l="1"/>
  <c r="AI168" i="57"/>
  <c r="AM179" i="57"/>
  <c r="Q200" i="57"/>
  <c r="AD221" i="57"/>
  <c r="R200" i="57"/>
  <c r="S200" i="57" s="1"/>
  <c r="N219" i="57"/>
  <c r="K100" i="47" s="1"/>
  <c r="AI101" i="47"/>
  <c r="S202" i="57"/>
  <c r="P221" i="57"/>
  <c r="M101" i="47" s="1"/>
  <c r="T202" i="57"/>
  <c r="Q221" i="57"/>
  <c r="N101" i="47" s="1"/>
  <c r="P220" i="57"/>
  <c r="M102" i="47" s="1"/>
  <c r="AI176" i="57"/>
  <c r="AM176" i="57" s="1"/>
  <c r="T221" i="57"/>
  <c r="Q101" i="47" s="1"/>
  <c r="AI167" i="57"/>
  <c r="AC167" i="57" s="1" a="1"/>
  <c r="AC167" i="57" s="1"/>
  <c r="AJ178" i="57"/>
  <c r="AJ167" i="57" s="1"/>
  <c r="Q181" i="57"/>
  <c r="Z174" i="57"/>
  <c r="R182" i="57"/>
  <c r="AA182" i="57" s="1"/>
  <c r="AA181" i="57"/>
  <c r="S181" i="57"/>
  <c r="AN219" i="57"/>
  <c r="AM219" i="57" s="1"/>
  <c r="AI164" i="57"/>
  <c r="AJ175" i="57"/>
  <c r="AJ164" i="57" s="1"/>
  <c r="I181" i="57"/>
  <c r="I182" i="57" s="1"/>
  <c r="AD219" i="57"/>
  <c r="AA100" i="47" s="1"/>
  <c r="H174" i="57"/>
  <c r="S219" i="57"/>
  <c r="P100" i="47" s="1"/>
  <c r="P181" i="57"/>
  <c r="AB102" i="47"/>
  <c r="AF220" i="57"/>
  <c r="AN177" i="57"/>
  <c r="AK177" i="57"/>
  <c r="AJ166" i="57"/>
  <c r="AQ179" i="57"/>
  <c r="AQ168" i="57" s="1"/>
  <c r="AM168" i="57"/>
  <c r="AC168" i="57" s="1" a="1"/>
  <c r="AC168" i="57" s="1"/>
  <c r="AI100" i="47"/>
  <c r="G178" i="57"/>
  <c r="G179" i="57"/>
  <c r="G175" i="57"/>
  <c r="G176" i="57"/>
  <c r="G177" i="57"/>
  <c r="G173" i="57"/>
  <c r="G174" i="57"/>
  <c r="P219" i="57"/>
  <c r="AQ175" i="57"/>
  <c r="AQ164" i="57" s="1"/>
  <c r="AM164" i="57"/>
  <c r="AK179" i="57"/>
  <c r="AN179" i="57"/>
  <c r="AJ168" i="57"/>
  <c r="AQ177" i="57"/>
  <c r="AQ166" i="57" s="1"/>
  <c r="AM166" i="57"/>
  <c r="AC166" i="57" s="1" a="1"/>
  <c r="AC166" i="57" s="1"/>
  <c r="H176" i="57"/>
  <c r="H175" i="57"/>
  <c r="H179" i="57"/>
  <c r="H178" i="57"/>
  <c r="H177" i="57"/>
  <c r="H173" i="57"/>
  <c r="AQ178" i="57"/>
  <c r="AQ167" i="57" s="1"/>
  <c r="AM167" i="57"/>
  <c r="R102" i="47"/>
  <c r="V220" i="57"/>
  <c r="AN178" i="57" l="1"/>
  <c r="AK178" i="57"/>
  <c r="H181" i="57"/>
  <c r="H182" i="57" s="1"/>
  <c r="U221" i="57"/>
  <c r="R101" i="47" s="1"/>
  <c r="K168" i="57"/>
  <c r="AV240" i="57" s="1"/>
  <c r="AW240" i="57" s="1"/>
  <c r="AX240" i="57" s="1"/>
  <c r="AC156" i="57"/>
  <c r="K156" i="57" s="1"/>
  <c r="K193" i="57" s="1"/>
  <c r="K166" i="57"/>
  <c r="AV238" i="57" s="1"/>
  <c r="AW238" i="57" s="1"/>
  <c r="AX238" i="57" s="1"/>
  <c r="AC154" i="57"/>
  <c r="K154" i="57" s="1"/>
  <c r="K191" i="57" s="1"/>
  <c r="AC164" i="57" a="1"/>
  <c r="AC164" i="57" s="1"/>
  <c r="K164" i="57" s="1"/>
  <c r="AV236" i="57" s="1"/>
  <c r="AW236" i="57" s="1"/>
  <c r="AX236" i="57" s="1"/>
  <c r="AI165" i="57"/>
  <c r="AC165" i="57" s="1" a="1"/>
  <c r="AC165" i="57" s="1"/>
  <c r="K165" i="57" s="1"/>
  <c r="AV237" i="57" s="1"/>
  <c r="AW237" i="57" s="1"/>
  <c r="AX237" i="57" s="1"/>
  <c r="AA101" i="47"/>
  <c r="AE221" i="57"/>
  <c r="AC155" i="57"/>
  <c r="K167" i="57"/>
  <c r="J193" i="57"/>
  <c r="S226" i="57" s="1"/>
  <c r="P105" i="47" s="1"/>
  <c r="J191" i="57"/>
  <c r="S224" i="57" s="1"/>
  <c r="P103" i="47" s="1"/>
  <c r="AJ176" i="57"/>
  <c r="AN176" i="57" s="1"/>
  <c r="AL240" i="57"/>
  <c r="AM240" i="57" s="1"/>
  <c r="AN240" i="57" s="1"/>
  <c r="AO240" i="57" s="1"/>
  <c r="AP240" i="57" s="1"/>
  <c r="AQ240" i="57" s="1"/>
  <c r="AR240" i="57" s="1"/>
  <c r="AS240" i="57" s="1"/>
  <c r="AT240" i="57" s="1"/>
  <c r="AU240" i="57" s="1"/>
  <c r="AC240" i="57"/>
  <c r="AD240" i="57" s="1"/>
  <c r="AE240" i="57" s="1"/>
  <c r="AF240" i="57" s="1"/>
  <c r="AG240" i="57" s="1"/>
  <c r="AH240" i="57" s="1"/>
  <c r="AI240" i="57" s="1"/>
  <c r="AJ240" i="57" s="1"/>
  <c r="AK240" i="57" s="1"/>
  <c r="AC238" i="57"/>
  <c r="AD238" i="57" s="1"/>
  <c r="AE238" i="57" s="1"/>
  <c r="AF238" i="57" s="1"/>
  <c r="AG238" i="57" s="1"/>
  <c r="AH238" i="57" s="1"/>
  <c r="AI238" i="57" s="1"/>
  <c r="AJ238" i="57" s="1"/>
  <c r="AK238" i="57" s="1"/>
  <c r="AL238" i="57"/>
  <c r="AM238" i="57" s="1"/>
  <c r="AN238" i="57" s="1"/>
  <c r="AO238" i="57" s="1"/>
  <c r="AP238" i="57" s="1"/>
  <c r="AQ238" i="57" s="1"/>
  <c r="AR238" i="57" s="1"/>
  <c r="AS238" i="57" s="1"/>
  <c r="AT238" i="57" s="1"/>
  <c r="AU238" i="57" s="1"/>
  <c r="AL239" i="57"/>
  <c r="AM239" i="57" s="1"/>
  <c r="AN239" i="57" s="1"/>
  <c r="AO239" i="57" s="1"/>
  <c r="AP239" i="57" s="1"/>
  <c r="AQ239" i="57" s="1"/>
  <c r="AR239" i="57" s="1"/>
  <c r="AS239" i="57" s="1"/>
  <c r="AT239" i="57" s="1"/>
  <c r="AU239" i="57" s="1"/>
  <c r="AC239" i="57"/>
  <c r="AD239" i="57" s="1"/>
  <c r="AE239" i="57" s="1"/>
  <c r="AF239" i="57" s="1"/>
  <c r="AG239" i="57" s="1"/>
  <c r="AH239" i="57" s="1"/>
  <c r="AI239" i="57" s="1"/>
  <c r="AJ239" i="57" s="1"/>
  <c r="AK239" i="57" s="1"/>
  <c r="AK175" i="57"/>
  <c r="AO175" i="57" s="1"/>
  <c r="AN175" i="57"/>
  <c r="AN164" i="57" s="1"/>
  <c r="S182" i="57"/>
  <c r="AB182" i="57" s="1"/>
  <c r="AB181" i="57"/>
  <c r="P182" i="57"/>
  <c r="Y182" i="57" s="1"/>
  <c r="Y181" i="57"/>
  <c r="Q182" i="57"/>
  <c r="Z182" i="57" s="1"/>
  <c r="Z181" i="57"/>
  <c r="T219" i="57"/>
  <c r="Q100" i="47" s="1"/>
  <c r="AE219" i="57"/>
  <c r="AF219" i="57" s="1"/>
  <c r="G181" i="57"/>
  <c r="G182" i="57" s="1"/>
  <c r="AR178" i="57"/>
  <c r="AR167" i="57" s="1"/>
  <c r="AN167" i="57"/>
  <c r="AQ176" i="57"/>
  <c r="AQ165" i="57" s="1"/>
  <c r="AM165" i="57"/>
  <c r="M100" i="47"/>
  <c r="Q219" i="57"/>
  <c r="N100" i="47" s="1"/>
  <c r="AO177" i="57"/>
  <c r="AK166" i="57"/>
  <c r="V221" i="57"/>
  <c r="AR177" i="57"/>
  <c r="AR166" i="57" s="1"/>
  <c r="AN166" i="57"/>
  <c r="AD166" i="57" s="1" a="1"/>
  <c r="AD166" i="57" s="1"/>
  <c r="AR179" i="57"/>
  <c r="AR168" i="57" s="1"/>
  <c r="AD168" i="57" s="1" a="1"/>
  <c r="AD168" i="57" s="1"/>
  <c r="AN168" i="57"/>
  <c r="AO179" i="57"/>
  <c r="AK168" i="57"/>
  <c r="AC102" i="47"/>
  <c r="AG220" i="57"/>
  <c r="AO178" i="57"/>
  <c r="AK167" i="57"/>
  <c r="S102" i="47"/>
  <c r="W220" i="57"/>
  <c r="AD167" i="57" l="1" a="1"/>
  <c r="AD167" i="57" s="1"/>
  <c r="L167" i="57" s="1"/>
  <c r="L168" i="57"/>
  <c r="AD156" i="57"/>
  <c r="AC152" i="57"/>
  <c r="L166" i="57"/>
  <c r="AD154" i="57"/>
  <c r="L154" i="57" s="1"/>
  <c r="L191" i="57" s="1"/>
  <c r="AC169" i="57"/>
  <c r="AC175" i="57" s="1"/>
  <c r="AJ165" i="57"/>
  <c r="V207" i="57"/>
  <c r="W207" i="57" s="1"/>
  <c r="X207" i="57" s="1"/>
  <c r="Y207" i="57" s="1"/>
  <c r="Z207" i="57" s="1"/>
  <c r="AA207" i="57" s="1"/>
  <c r="AB207" i="57" s="1"/>
  <c r="AC207" i="57" s="1"/>
  <c r="AD207" i="57" s="1"/>
  <c r="AC153" i="57"/>
  <c r="K153" i="57" s="1"/>
  <c r="K190" i="57" s="1"/>
  <c r="AB101" i="47"/>
  <c r="AF221" i="57"/>
  <c r="AE207" i="57"/>
  <c r="AB226" i="57"/>
  <c r="Y105" i="47" s="1"/>
  <c r="S193" i="57"/>
  <c r="T193" i="57" s="1"/>
  <c r="AB193" i="57"/>
  <c r="AC193" i="57" s="1"/>
  <c r="AV239" i="57"/>
  <c r="AW239" i="57" s="1"/>
  <c r="AX239" i="57" s="1"/>
  <c r="L156" i="57"/>
  <c r="L193" i="57" s="1"/>
  <c r="J192" i="57"/>
  <c r="K155" i="57"/>
  <c r="K192" i="57" s="1"/>
  <c r="J189" i="57"/>
  <c r="S222" i="57" s="1"/>
  <c r="P104" i="47" s="1"/>
  <c r="K152" i="57"/>
  <c r="K189" i="57" s="1"/>
  <c r="T224" i="57"/>
  <c r="Q103" i="47" s="1"/>
  <c r="J190" i="57"/>
  <c r="V204" i="57" s="1"/>
  <c r="V205" i="57"/>
  <c r="W205" i="57" s="1"/>
  <c r="X205" i="57" s="1"/>
  <c r="Y205" i="57" s="1"/>
  <c r="Z205" i="57" s="1"/>
  <c r="AA205" i="57" s="1"/>
  <c r="AB205" i="57" s="1"/>
  <c r="AC205" i="57" s="1"/>
  <c r="AD205" i="57" s="1"/>
  <c r="K169" i="57"/>
  <c r="K178" i="57" s="1"/>
  <c r="AE205" i="57"/>
  <c r="AB224" i="57"/>
  <c r="Y103" i="47" s="1"/>
  <c r="S191" i="57"/>
  <c r="T191" i="57" s="1"/>
  <c r="AB191" i="57"/>
  <c r="AC191" i="57" s="1"/>
  <c r="AR175" i="57"/>
  <c r="AR164" i="57" s="1"/>
  <c r="AD164" i="57" s="1" a="1"/>
  <c r="AD164" i="57" s="1"/>
  <c r="T226" i="57"/>
  <c r="Q105" i="47" s="1"/>
  <c r="AK176" i="57"/>
  <c r="AO176" i="57" s="1"/>
  <c r="AK164" i="57"/>
  <c r="AC172" i="57"/>
  <c r="AC174" i="57"/>
  <c r="AL236" i="57"/>
  <c r="AM236" i="57" s="1"/>
  <c r="AN236" i="57" s="1"/>
  <c r="AO236" i="57" s="1"/>
  <c r="AP236" i="57" s="1"/>
  <c r="AQ236" i="57" s="1"/>
  <c r="AR236" i="57" s="1"/>
  <c r="AS236" i="57" s="1"/>
  <c r="AT236" i="57" s="1"/>
  <c r="AU236" i="57" s="1"/>
  <c r="AC236" i="57"/>
  <c r="AD236" i="57" s="1"/>
  <c r="AE236" i="57" s="1"/>
  <c r="AF236" i="57" s="1"/>
  <c r="AG236" i="57" s="1"/>
  <c r="AH236" i="57" s="1"/>
  <c r="AI236" i="57" s="1"/>
  <c r="AJ236" i="57" s="1"/>
  <c r="AK236" i="57" s="1"/>
  <c r="J169" i="57"/>
  <c r="J175" i="57" s="1"/>
  <c r="AL237" i="57"/>
  <c r="AM237" i="57" s="1"/>
  <c r="AN237" i="57" s="1"/>
  <c r="AO237" i="57" s="1"/>
  <c r="AP237" i="57" s="1"/>
  <c r="AQ237" i="57" s="1"/>
  <c r="AR237" i="57" s="1"/>
  <c r="AS237" i="57" s="1"/>
  <c r="AT237" i="57" s="1"/>
  <c r="AU237" i="57" s="1"/>
  <c r="AC237" i="57"/>
  <c r="AD237" i="57" s="1"/>
  <c r="AE237" i="57" s="1"/>
  <c r="AF237" i="57" s="1"/>
  <c r="AG237" i="57" s="1"/>
  <c r="AH237" i="57" s="1"/>
  <c r="AI237" i="57" s="1"/>
  <c r="AJ237" i="57" s="1"/>
  <c r="AK237" i="57" s="1"/>
  <c r="U219" i="57"/>
  <c r="R100" i="47" s="1"/>
  <c r="AB100" i="47"/>
  <c r="AS177" i="57"/>
  <c r="AS166" i="57" s="1"/>
  <c r="AO166" i="57"/>
  <c r="AS179" i="57"/>
  <c r="AS168" i="57" s="1"/>
  <c r="AO168" i="57"/>
  <c r="AE168" i="57" s="1" a="1"/>
  <c r="AE168" i="57" s="1"/>
  <c r="AC100" i="47"/>
  <c r="AG219" i="57"/>
  <c r="T102" i="47"/>
  <c r="X220" i="57"/>
  <c r="AR176" i="57"/>
  <c r="AR165" i="57" s="1"/>
  <c r="AN165" i="57"/>
  <c r="AS175" i="57"/>
  <c r="AS164" i="57" s="1"/>
  <c r="AO164" i="57"/>
  <c r="AS178" i="57"/>
  <c r="AS167" i="57" s="1"/>
  <c r="AO167" i="57"/>
  <c r="AE167" i="57" s="1" a="1"/>
  <c r="AE167" i="57" s="1"/>
  <c r="AD102" i="47"/>
  <c r="AH220" i="57"/>
  <c r="S101" i="47"/>
  <c r="W221" i="57"/>
  <c r="AD155" i="57" l="1"/>
  <c r="L155" i="57" s="1"/>
  <c r="L192" i="57" s="1"/>
  <c r="AE166" i="57" a="1"/>
  <c r="AE166" i="57" s="1"/>
  <c r="M166" i="57" s="1"/>
  <c r="AC179" i="57"/>
  <c r="AC176" i="57"/>
  <c r="S223" i="57"/>
  <c r="P106" i="47" s="1"/>
  <c r="AC177" i="57"/>
  <c r="AC178" i="57"/>
  <c r="L164" i="57"/>
  <c r="AD152" i="57"/>
  <c r="L152" i="57" s="1"/>
  <c r="L189" i="57" s="1"/>
  <c r="AL222" i="57" s="1"/>
  <c r="AI104" i="47" s="1"/>
  <c r="V203" i="57"/>
  <c r="W203" i="57" s="1"/>
  <c r="X203" i="57" s="1"/>
  <c r="Y203" i="57" s="1"/>
  <c r="Z203" i="57" s="1"/>
  <c r="AA203" i="57" s="1"/>
  <c r="AB203" i="57" s="1"/>
  <c r="AC203" i="57" s="1"/>
  <c r="AD203" i="57" s="1"/>
  <c r="AC173" i="57"/>
  <c r="AC181" i="57" s="1"/>
  <c r="AC182" i="57" s="1"/>
  <c r="M168" i="57"/>
  <c r="AE156" i="57"/>
  <c r="M156" i="57" s="1"/>
  <c r="M193" i="57" s="1"/>
  <c r="M167" i="57"/>
  <c r="AE155" i="57"/>
  <c r="M155" i="57" s="1"/>
  <c r="M192" i="57" s="1"/>
  <c r="AN225" i="57" s="1"/>
  <c r="AD165" i="57" a="1"/>
  <c r="AD165" i="57" s="1"/>
  <c r="AE164" i="57" a="1"/>
  <c r="AE164" i="57" s="1"/>
  <c r="U224" i="57"/>
  <c r="R103" i="47" s="1"/>
  <c r="AK165" i="57"/>
  <c r="AC101" i="47"/>
  <c r="AG221" i="57"/>
  <c r="W204" i="57"/>
  <c r="X204" i="57" s="1"/>
  <c r="Y204" i="57" s="1"/>
  <c r="Z204" i="57" s="1"/>
  <c r="AA204" i="57" s="1"/>
  <c r="AB204" i="57" s="1"/>
  <c r="AC204" i="57" s="1"/>
  <c r="AD204" i="57" s="1"/>
  <c r="U193" i="57"/>
  <c r="AD193" i="57"/>
  <c r="AF207" i="57"/>
  <c r="AG207" i="57" s="1"/>
  <c r="AH207" i="57" s="1"/>
  <c r="AI207" i="57" s="1"/>
  <c r="AJ207" i="57" s="1"/>
  <c r="AK207" i="57" s="1"/>
  <c r="AL207" i="57" s="1"/>
  <c r="AM207" i="57" s="1"/>
  <c r="AN207" i="57" s="1"/>
  <c r="AO207" i="57"/>
  <c r="AL226" i="57"/>
  <c r="AC226" i="57"/>
  <c r="Z105" i="47" s="1"/>
  <c r="AO206" i="57"/>
  <c r="AL225" i="57"/>
  <c r="AI107" i="47" s="1"/>
  <c r="AO205" i="57"/>
  <c r="U191" i="57"/>
  <c r="AD191" i="57"/>
  <c r="AC224" i="57"/>
  <c r="Z103" i="47" s="1"/>
  <c r="AF205" i="57"/>
  <c r="AG205" i="57" s="1"/>
  <c r="AH205" i="57" s="1"/>
  <c r="AI205" i="57" s="1"/>
  <c r="AJ205" i="57" s="1"/>
  <c r="AK205" i="57" s="1"/>
  <c r="AL205" i="57" s="1"/>
  <c r="AM205" i="57" s="1"/>
  <c r="AN205" i="57" s="1"/>
  <c r="AL224" i="57"/>
  <c r="AI103" i="47" s="1"/>
  <c r="AE206" i="57"/>
  <c r="AF206" i="57" s="1"/>
  <c r="AG206" i="57" s="1"/>
  <c r="AH206" i="57" s="1"/>
  <c r="AI206" i="57" s="1"/>
  <c r="AJ206" i="57" s="1"/>
  <c r="AK206" i="57" s="1"/>
  <c r="AL206" i="57" s="1"/>
  <c r="AM206" i="57" s="1"/>
  <c r="AN206" i="57" s="1"/>
  <c r="AB225" i="57"/>
  <c r="Y107" i="47" s="1"/>
  <c r="AB192" i="57"/>
  <c r="AC192" i="57" s="1"/>
  <c r="AD192" i="57" s="1"/>
  <c r="S192" i="57"/>
  <c r="T192" i="57" s="1"/>
  <c r="U192" i="57" s="1"/>
  <c r="S225" i="57"/>
  <c r="P107" i="47" s="1"/>
  <c r="V206" i="57"/>
  <c r="W206" i="57" s="1"/>
  <c r="X206" i="57" s="1"/>
  <c r="Y206" i="57" s="1"/>
  <c r="Z206" i="57" s="1"/>
  <c r="AA206" i="57" s="1"/>
  <c r="AB206" i="57" s="1"/>
  <c r="AC206" i="57" s="1"/>
  <c r="AD206" i="57" s="1"/>
  <c r="K172" i="57"/>
  <c r="K173" i="57"/>
  <c r="K174" i="57"/>
  <c r="K177" i="57"/>
  <c r="K179" i="57"/>
  <c r="K175" i="57"/>
  <c r="K176" i="57"/>
  <c r="AE204" i="57"/>
  <c r="AB190" i="57"/>
  <c r="AC190" i="57" s="1"/>
  <c r="S190" i="57"/>
  <c r="T190" i="57" s="1"/>
  <c r="AB223" i="57"/>
  <c r="Y106" i="47" s="1"/>
  <c r="U226" i="57"/>
  <c r="V226" i="57" s="1"/>
  <c r="AE203" i="57"/>
  <c r="S189" i="57"/>
  <c r="T189" i="57" s="1"/>
  <c r="AB189" i="57"/>
  <c r="AC189" i="57" s="1"/>
  <c r="AD189" i="57" s="1"/>
  <c r="AB222" i="57"/>
  <c r="Y104" i="47" s="1"/>
  <c r="T222" i="57"/>
  <c r="J176" i="57"/>
  <c r="AI105" i="47"/>
  <c r="V219" i="57"/>
  <c r="S100" i="47" s="1"/>
  <c r="J172" i="57"/>
  <c r="J174" i="57"/>
  <c r="J173" i="57"/>
  <c r="J177" i="57"/>
  <c r="J178" i="57"/>
  <c r="J179" i="57"/>
  <c r="AE102" i="47"/>
  <c r="AI220" i="57"/>
  <c r="AD100" i="47"/>
  <c r="AH219" i="57"/>
  <c r="U102" i="47"/>
  <c r="Y220" i="57"/>
  <c r="AS176" i="57"/>
  <c r="AS165" i="57" s="1"/>
  <c r="AO165" i="57"/>
  <c r="T101" i="47"/>
  <c r="X221" i="57"/>
  <c r="T223" i="57" l="1"/>
  <c r="Q106" i="47" s="1"/>
  <c r="U189" i="57"/>
  <c r="AF203" i="57"/>
  <c r="AG203" i="57" s="1"/>
  <c r="AH203" i="57" s="1"/>
  <c r="AI203" i="57" s="1"/>
  <c r="AJ203" i="57" s="1"/>
  <c r="AK203" i="57" s="1"/>
  <c r="AL203" i="57" s="1"/>
  <c r="AM203" i="57" s="1"/>
  <c r="AN203" i="57" s="1"/>
  <c r="AO203" i="57"/>
  <c r="AE154" i="57"/>
  <c r="M154" i="57" s="1"/>
  <c r="M191" i="57" s="1"/>
  <c r="V191" i="57" s="1"/>
  <c r="AD226" i="57"/>
  <c r="AA105" i="47" s="1"/>
  <c r="AE165" i="57" a="1"/>
  <c r="AE165" i="57" s="1"/>
  <c r="L165" i="57"/>
  <c r="AD169" i="57"/>
  <c r="AD176" i="57" s="1"/>
  <c r="AD153" i="57"/>
  <c r="L153" i="57" s="1"/>
  <c r="L190" i="57" s="1"/>
  <c r="AD190" i="57" s="1"/>
  <c r="M164" i="57"/>
  <c r="AE152" i="57"/>
  <c r="M152" i="57" s="1"/>
  <c r="M189" i="57" s="1"/>
  <c r="V224" i="57"/>
  <c r="S103" i="47" s="1"/>
  <c r="AQ207" i="57"/>
  <c r="AR207" i="57" s="1"/>
  <c r="AS207" i="57" s="1"/>
  <c r="AP207" i="57"/>
  <c r="AN226" i="57"/>
  <c r="AM226" i="57" s="1"/>
  <c r="AE193" i="57"/>
  <c r="AF193" i="57" s="1"/>
  <c r="AG193" i="57" s="1"/>
  <c r="AH193" i="57" s="1"/>
  <c r="AI193" i="57" s="1"/>
  <c r="AJ193" i="57" s="1"/>
  <c r="AK193" i="57" s="1"/>
  <c r="AL193" i="57" s="1"/>
  <c r="AM193" i="57" s="1"/>
  <c r="AN193" i="57" s="1"/>
  <c r="AO193" i="57" s="1"/>
  <c r="AP193" i="57" s="1"/>
  <c r="AQ193" i="57" s="1"/>
  <c r="AR193" i="57" s="1"/>
  <c r="R105" i="47"/>
  <c r="AD224" i="57"/>
  <c r="AA103" i="47" s="1"/>
  <c r="K181" i="57"/>
  <c r="K182" i="57" s="1"/>
  <c r="V192" i="57"/>
  <c r="AD101" i="47"/>
  <c r="AH221" i="57"/>
  <c r="AM225" i="57"/>
  <c r="AE192" i="57"/>
  <c r="AF192" i="57" s="1"/>
  <c r="AG192" i="57" s="1"/>
  <c r="AH192" i="57" s="1"/>
  <c r="AI192" i="57" s="1"/>
  <c r="AJ192" i="57" s="1"/>
  <c r="AK192" i="57" s="1"/>
  <c r="AL192" i="57" s="1"/>
  <c r="AM192" i="57" s="1"/>
  <c r="AN192" i="57" s="1"/>
  <c r="AO192" i="57" s="1"/>
  <c r="AP192" i="57" s="1"/>
  <c r="AQ192" i="57" s="1"/>
  <c r="AR192" i="57" s="1"/>
  <c r="V193" i="57"/>
  <c r="AC222" i="57"/>
  <c r="AP206" i="57"/>
  <c r="AQ206" i="57" s="1"/>
  <c r="AR206" i="57" s="1"/>
  <c r="AS206" i="57" s="1"/>
  <c r="T225" i="57"/>
  <c r="AC225" i="57"/>
  <c r="W219" i="57"/>
  <c r="T100" i="47" s="1"/>
  <c r="Q104" i="47"/>
  <c r="U222" i="57"/>
  <c r="J181" i="57"/>
  <c r="J182" i="57" s="1"/>
  <c r="S105" i="47"/>
  <c r="W226" i="57"/>
  <c r="U101" i="47"/>
  <c r="Y221" i="57"/>
  <c r="AE100" i="47"/>
  <c r="AI219" i="57"/>
  <c r="AF102" i="47"/>
  <c r="AJ220" i="57"/>
  <c r="V102" i="47"/>
  <c r="Z220" i="57"/>
  <c r="U223" i="57" l="1"/>
  <c r="R106" i="47" s="1"/>
  <c r="AE226" i="57"/>
  <c r="AB105" i="47" s="1"/>
  <c r="AO204" i="57"/>
  <c r="AL223" i="57"/>
  <c r="AI106" i="47" s="1"/>
  <c r="AC223" i="57"/>
  <c r="U190" i="57"/>
  <c r="AF204" i="57"/>
  <c r="AG204" i="57" s="1"/>
  <c r="AH204" i="57" s="1"/>
  <c r="AI204" i="57" s="1"/>
  <c r="AJ204" i="57" s="1"/>
  <c r="AK204" i="57" s="1"/>
  <c r="AL204" i="57" s="1"/>
  <c r="AM204" i="57" s="1"/>
  <c r="AN204" i="57" s="1"/>
  <c r="AN224" i="57"/>
  <c r="AM224" i="57" s="1"/>
  <c r="AE191" i="57"/>
  <c r="AF191" i="57" s="1"/>
  <c r="AG191" i="57" s="1"/>
  <c r="AH191" i="57" s="1"/>
  <c r="AI191" i="57" s="1"/>
  <c r="AJ191" i="57" s="1"/>
  <c r="AK191" i="57" s="1"/>
  <c r="AL191" i="57" s="1"/>
  <c r="AM191" i="57" s="1"/>
  <c r="AN191" i="57" s="1"/>
  <c r="AO191" i="57" s="1"/>
  <c r="AP191" i="57" s="1"/>
  <c r="AQ191" i="57" s="1"/>
  <c r="AR191" i="57" s="1"/>
  <c r="AP205" i="57"/>
  <c r="AQ205" i="57" s="1"/>
  <c r="AR205" i="57" s="1"/>
  <c r="AS205" i="57" s="1"/>
  <c r="W224" i="57"/>
  <c r="X224" i="57" s="1"/>
  <c r="U103" i="47" s="1"/>
  <c r="M165" i="57"/>
  <c r="M169" i="57" s="1"/>
  <c r="M174" i="57" s="1"/>
  <c r="AE153" i="57"/>
  <c r="M153" i="57" s="1"/>
  <c r="M190" i="57" s="1"/>
  <c r="AE190" i="57" s="1"/>
  <c r="AF190" i="57" s="1"/>
  <c r="AG190" i="57" s="1"/>
  <c r="AH190" i="57" s="1"/>
  <c r="AI190" i="57" s="1"/>
  <c r="AJ190" i="57" s="1"/>
  <c r="AK190" i="57" s="1"/>
  <c r="AL190" i="57" s="1"/>
  <c r="AM190" i="57" s="1"/>
  <c r="AN190" i="57" s="1"/>
  <c r="AO190" i="57" s="1"/>
  <c r="AP190" i="57" s="1"/>
  <c r="AQ190" i="57" s="1"/>
  <c r="AR190" i="57" s="1"/>
  <c r="AE224" i="57"/>
  <c r="AB103" i="47" s="1"/>
  <c r="AE169" i="57"/>
  <c r="AD174" i="57"/>
  <c r="AD173" i="57"/>
  <c r="AD175" i="57"/>
  <c r="AD172" i="57"/>
  <c r="AD177" i="57"/>
  <c r="AD179" i="57"/>
  <c r="AD178" i="57"/>
  <c r="L169" i="57"/>
  <c r="L176" i="57" s="1"/>
  <c r="X219" i="57"/>
  <c r="U100" i="47" s="1"/>
  <c r="AI221" i="57"/>
  <c r="AE101" i="47"/>
  <c r="AE189" i="57"/>
  <c r="AF189" i="57" s="1"/>
  <c r="AG189" i="57" s="1"/>
  <c r="AH189" i="57" s="1"/>
  <c r="AI189" i="57" s="1"/>
  <c r="AJ189" i="57" s="1"/>
  <c r="AK189" i="57" s="1"/>
  <c r="AL189" i="57" s="1"/>
  <c r="AM189" i="57" s="1"/>
  <c r="AN189" i="57" s="1"/>
  <c r="AO189" i="57" s="1"/>
  <c r="AP189" i="57" s="1"/>
  <c r="AQ189" i="57" s="1"/>
  <c r="AR189" i="57" s="1"/>
  <c r="AP203" i="57"/>
  <c r="AQ203" i="57" s="1"/>
  <c r="AR203" i="57" s="1"/>
  <c r="AS203" i="57" s="1"/>
  <c r="V189" i="57"/>
  <c r="AN222" i="57"/>
  <c r="AM222" i="57" s="1"/>
  <c r="Z104" i="47"/>
  <c r="AD222" i="57"/>
  <c r="Z107" i="47"/>
  <c r="AD225" i="57"/>
  <c r="Q107" i="47"/>
  <c r="U225" i="57"/>
  <c r="V223" i="57"/>
  <c r="S106" i="47" s="1"/>
  <c r="R104" i="47"/>
  <c r="V222" i="57"/>
  <c r="T105" i="47"/>
  <c r="X226" i="57"/>
  <c r="W102" i="47"/>
  <c r="AA220" i="57"/>
  <c r="X102" i="47" s="1"/>
  <c r="AG102" i="47"/>
  <c r="AK220" i="57"/>
  <c r="AH102" i="47" s="1"/>
  <c r="V101" i="47"/>
  <c r="Z221" i="57"/>
  <c r="AF100" i="47"/>
  <c r="AJ219" i="57"/>
  <c r="AF226" i="57" l="1"/>
  <c r="AN223" i="57"/>
  <c r="AM223" i="57" s="1"/>
  <c r="M176" i="57"/>
  <c r="M177" i="57"/>
  <c r="M175" i="57"/>
  <c r="M178" i="57"/>
  <c r="M179" i="57"/>
  <c r="AD181" i="57"/>
  <c r="AD182" i="57" s="1"/>
  <c r="M172" i="57"/>
  <c r="Z106" i="47"/>
  <c r="AD223" i="57"/>
  <c r="AP204" i="57"/>
  <c r="AQ204" i="57" s="1"/>
  <c r="AR204" i="57" s="1"/>
  <c r="AS204" i="57" s="1"/>
  <c r="M173" i="57"/>
  <c r="AF224" i="57"/>
  <c r="AG224" i="57" s="1"/>
  <c r="AD103" i="47" s="1"/>
  <c r="V190" i="57"/>
  <c r="Y219" i="57"/>
  <c r="V100" i="47" s="1"/>
  <c r="Y224" i="57"/>
  <c r="Z224" i="57" s="1"/>
  <c r="T103" i="47"/>
  <c r="AE172" i="57"/>
  <c r="AE179" i="57"/>
  <c r="AE177" i="57"/>
  <c r="AE176" i="57"/>
  <c r="AE178" i="57"/>
  <c r="AE174" i="57"/>
  <c r="AE175" i="57"/>
  <c r="AE173" i="57"/>
  <c r="W223" i="57"/>
  <c r="T106" i="47" s="1"/>
  <c r="L179" i="57"/>
  <c r="L177" i="57"/>
  <c r="L178" i="57"/>
  <c r="L175" i="57"/>
  <c r="L172" i="57"/>
  <c r="L174" i="57"/>
  <c r="L173" i="57"/>
  <c r="AF101" i="47"/>
  <c r="AJ221" i="57"/>
  <c r="R107" i="47"/>
  <c r="V225" i="57"/>
  <c r="AA107" i="47"/>
  <c r="AE225" i="57"/>
  <c r="AA104" i="47"/>
  <c r="AE222" i="57"/>
  <c r="S104" i="47"/>
  <c r="W222" i="57"/>
  <c r="AC105" i="47"/>
  <c r="AG226" i="57"/>
  <c r="U105" i="47"/>
  <c r="Y226" i="57"/>
  <c r="Z219" i="57"/>
  <c r="AG100" i="47"/>
  <c r="AK219" i="57"/>
  <c r="AH100" i="47" s="1"/>
  <c r="W101" i="47"/>
  <c r="AA221" i="57"/>
  <c r="X101" i="47" s="1"/>
  <c r="M181" i="57" l="1"/>
  <c r="M182" i="57" s="1"/>
  <c r="AH224" i="57"/>
  <c r="AA106" i="47"/>
  <c r="AE223" i="57"/>
  <c r="V103" i="47"/>
  <c r="AC103" i="47"/>
  <c r="X223" i="57"/>
  <c r="U106" i="47" s="1"/>
  <c r="AE181" i="57"/>
  <c r="AE182" i="57" s="1"/>
  <c r="L181" i="57"/>
  <c r="L182" i="57" s="1"/>
  <c r="AG101" i="47"/>
  <c r="AK221" i="57"/>
  <c r="AH101" i="47" s="1"/>
  <c r="AF222" i="57"/>
  <c r="AB104" i="47"/>
  <c r="AB107" i="47"/>
  <c r="AF225" i="57"/>
  <c r="W225" i="57"/>
  <c r="S107" i="47"/>
  <c r="T104" i="47"/>
  <c r="X222" i="57"/>
  <c r="AD105" i="47"/>
  <c r="AH226" i="57"/>
  <c r="AE103" i="47"/>
  <c r="AI224" i="57"/>
  <c r="V105" i="47"/>
  <c r="Z226" i="57"/>
  <c r="W103" i="47"/>
  <c r="AA224" i="57"/>
  <c r="X103" i="47" s="1"/>
  <c r="W100" i="47"/>
  <c r="AA219" i="57"/>
  <c r="X100" i="47" s="1"/>
  <c r="AO226" i="57"/>
  <c r="AP226" i="57" s="1"/>
  <c r="AM105" i="47" s="1"/>
  <c r="AO223" i="57"/>
  <c r="AK105" i="47"/>
  <c r="AO221" i="57"/>
  <c r="AK102" i="47"/>
  <c r="AJ100" i="47"/>
  <c r="AJ105" i="47"/>
  <c r="AO222" i="57"/>
  <c r="AJ107" i="47"/>
  <c r="AK103" i="47"/>
  <c r="Y223" i="57" l="1"/>
  <c r="AB106" i="47"/>
  <c r="AF223" i="57"/>
  <c r="T107" i="47"/>
  <c r="X225" i="57"/>
  <c r="AC107" i="47"/>
  <c r="AG225" i="57"/>
  <c r="AC104" i="47"/>
  <c r="AG222" i="57"/>
  <c r="U104" i="47"/>
  <c r="Y222" i="57"/>
  <c r="V106" i="47"/>
  <c r="Z223" i="57"/>
  <c r="AF103" i="47"/>
  <c r="AJ224" i="57"/>
  <c r="AE105" i="47"/>
  <c r="AI226" i="57"/>
  <c r="W105" i="47"/>
  <c r="AA226" i="57"/>
  <c r="X105" i="47" s="1"/>
  <c r="AK107" i="47"/>
  <c r="AO225" i="57"/>
  <c r="AK104" i="47"/>
  <c r="AK101" i="47"/>
  <c r="AL101" i="47"/>
  <c r="AP221" i="57"/>
  <c r="AM101" i="47" s="1"/>
  <c r="AP222" i="57"/>
  <c r="AM104" i="47" s="1"/>
  <c r="AL104" i="47"/>
  <c r="AL106" i="47"/>
  <c r="AP223" i="57"/>
  <c r="AM106" i="47" s="1"/>
  <c r="AO220" i="57"/>
  <c r="AJ104" i="47"/>
  <c r="AK100" i="47"/>
  <c r="AK106" i="47"/>
  <c r="AL105" i="47"/>
  <c r="AJ101" i="47"/>
  <c r="AJ102" i="47"/>
  <c r="AO224" i="57"/>
  <c r="AJ106" i="47"/>
  <c r="AJ103" i="47"/>
  <c r="AO219" i="57"/>
  <c r="AC106" i="47" l="1"/>
  <c r="AG223" i="57"/>
  <c r="AD104" i="47"/>
  <c r="AH222" i="57"/>
  <c r="AD107" i="47"/>
  <c r="AH225" i="57"/>
  <c r="Y225" i="57"/>
  <c r="U107" i="47"/>
  <c r="V104" i="47"/>
  <c r="Z222" i="57"/>
  <c r="W106" i="47"/>
  <c r="AA223" i="57"/>
  <c r="X106" i="47" s="1"/>
  <c r="AG103" i="47"/>
  <c r="AK224" i="57"/>
  <c r="AH103" i="47" s="1"/>
  <c r="AF105" i="47"/>
  <c r="AJ226" i="57"/>
  <c r="AL107" i="47"/>
  <c r="AP225" i="57"/>
  <c r="AM107" i="47" s="1"/>
  <c r="AL102" i="47"/>
  <c r="AP220" i="57"/>
  <c r="AM102" i="47" s="1"/>
  <c r="AL100" i="47"/>
  <c r="AP219" i="57"/>
  <c r="AM100" i="47" s="1"/>
  <c r="AP224" i="57"/>
  <c r="AM103" i="47" s="1"/>
  <c r="AL103" i="47"/>
  <c r="AD106" i="47" l="1"/>
  <c r="AH223" i="57"/>
  <c r="V107" i="47"/>
  <c r="Z225" i="57"/>
  <c r="AE107" i="47"/>
  <c r="AI225" i="57"/>
  <c r="AE104" i="47"/>
  <c r="AI222" i="57"/>
  <c r="W104" i="47"/>
  <c r="AA222" i="57"/>
  <c r="X104" i="47" s="1"/>
  <c r="AG105" i="47"/>
  <c r="AK226" i="57"/>
  <c r="AH105" i="47" s="1"/>
  <c r="AI223" i="57" l="1"/>
  <c r="AE106" i="47"/>
  <c r="AF104" i="47"/>
  <c r="AJ222" i="57"/>
  <c r="AA225" i="57"/>
  <c r="X107" i="47" s="1"/>
  <c r="W107" i="47"/>
  <c r="AF107" i="47"/>
  <c r="AJ225" i="57"/>
  <c r="AF106" i="47" l="1"/>
  <c r="AJ223" i="57"/>
  <c r="AK225" i="57"/>
  <c r="AH107" i="47" s="1"/>
  <c r="AG107" i="47"/>
  <c r="AG104" i="47"/>
  <c r="AK222" i="57"/>
  <c r="AH104" i="47" s="1"/>
  <c r="AG106" i="47" l="1"/>
  <c r="AK223" i="57"/>
  <c r="AH106" i="47" s="1"/>
  <c r="I68" i="57"/>
  <c r="I119" i="57" s="1"/>
  <c r="L68" i="57"/>
  <c r="L119" i="57" s="1"/>
  <c r="M68" i="57"/>
  <c r="M123" i="57" s="1"/>
  <c r="G68" i="57"/>
  <c r="G119" i="57" s="1"/>
  <c r="J70" i="57"/>
  <c r="J117" i="57" s="1"/>
  <c r="G69" i="57"/>
  <c r="G124" i="57" s="1"/>
  <c r="J69" i="57"/>
  <c r="J116" i="57" s="1"/>
  <c r="J68" i="57"/>
  <c r="J123" i="57" s="1"/>
  <c r="I70" i="57"/>
  <c r="I117" i="57" s="1"/>
  <c r="H69" i="57"/>
  <c r="H124" i="57" s="1"/>
  <c r="G70" i="57"/>
  <c r="G125" i="57" s="1"/>
  <c r="M69" i="57"/>
  <c r="M120" i="57" s="1"/>
  <c r="H70" i="57"/>
  <c r="H117" i="57" s="1"/>
  <c r="M70" i="57"/>
  <c r="L69" i="57"/>
  <c r="L116" i="57" s="1"/>
  <c r="F68" i="57"/>
  <c r="H68" i="57"/>
  <c r="H119" i="57" s="1"/>
  <c r="F69" i="57"/>
  <c r="F120" i="57" s="1"/>
  <c r="I69" i="57"/>
  <c r="I120" i="57" s="1"/>
  <c r="L70" i="57"/>
  <c r="K70" i="57"/>
  <c r="K69" i="57"/>
  <c r="K116" i="57" s="1"/>
  <c r="K68" i="57"/>
  <c r="K123" i="57" s="1"/>
  <c r="M67" i="57"/>
  <c r="K67" i="57"/>
  <c r="H67" i="57"/>
  <c r="L67" i="57"/>
  <c r="J67" i="57"/>
  <c r="I67" i="57"/>
  <c r="F70" i="57"/>
  <c r="F121" i="57" s="1"/>
  <c r="G67" i="57"/>
  <c r="F67" i="57"/>
  <c r="L115" i="57" l="1"/>
  <c r="G121" i="57"/>
  <c r="H120" i="57"/>
  <c r="I125" i="57"/>
  <c r="M119" i="57"/>
  <c r="M115" i="57"/>
  <c r="I116" i="57"/>
  <c r="H116" i="57"/>
  <c r="H128" i="57" s="1"/>
  <c r="K115" i="57"/>
  <c r="F116" i="57"/>
  <c r="G120" i="57"/>
  <c r="I124" i="57"/>
  <c r="I128" i="57" s="1"/>
  <c r="K119" i="57"/>
  <c r="J125" i="57"/>
  <c r="H115" i="57"/>
  <c r="G123" i="57"/>
  <c r="G115" i="57"/>
  <c r="G116" i="57"/>
  <c r="M116" i="57"/>
  <c r="K124" i="57"/>
  <c r="I121" i="57"/>
  <c r="I129" i="57" s="1"/>
  <c r="K120" i="57"/>
  <c r="H123" i="57"/>
  <c r="M124" i="57"/>
  <c r="I123" i="57"/>
  <c r="J115" i="57"/>
  <c r="F119" i="57"/>
  <c r="J119" i="57"/>
  <c r="F125" i="57"/>
  <c r="G117" i="57"/>
  <c r="G129" i="57" s="1"/>
  <c r="L120" i="57"/>
  <c r="H125" i="57"/>
  <c r="J120" i="57"/>
  <c r="M127" i="57"/>
  <c r="I115" i="57"/>
  <c r="J121" i="57"/>
  <c r="AC67" i="57"/>
  <c r="AC70" i="57"/>
  <c r="L124" i="57"/>
  <c r="F115" i="57"/>
  <c r="F124" i="57"/>
  <c r="H121" i="57"/>
  <c r="J124" i="57"/>
  <c r="F117" i="57"/>
  <c r="L123" i="57"/>
  <c r="F123" i="57"/>
  <c r="K128" i="57" l="1"/>
  <c r="J129" i="57"/>
  <c r="K127" i="57"/>
  <c r="L128" i="57"/>
  <c r="H127" i="57"/>
  <c r="F128" i="57"/>
  <c r="G128" i="57"/>
  <c r="J128" i="57"/>
  <c r="G127" i="57"/>
  <c r="H129" i="57"/>
  <c r="I127" i="57"/>
  <c r="G257" i="57" s="1"/>
  <c r="F127" i="57"/>
  <c r="E257" i="57" s="1"/>
  <c r="M128" i="57"/>
  <c r="J127" i="57"/>
  <c r="AD67" i="57"/>
  <c r="AC82" i="57"/>
  <c r="AC87" i="57"/>
  <c r="AC77" i="57"/>
  <c r="F129" i="57"/>
  <c r="AC68" i="57"/>
  <c r="AD70" i="57"/>
  <c r="AC69" i="57"/>
  <c r="L127" i="57"/>
  <c r="E256" i="57" l="1"/>
  <c r="K263" i="57" s="1"/>
  <c r="L263" i="57" s="1"/>
  <c r="G258" i="57"/>
  <c r="AC80" i="57"/>
  <c r="AC117" i="57" s="1"/>
  <c r="K77" i="57"/>
  <c r="K80" i="57" s="1"/>
  <c r="K117" i="57" s="1"/>
  <c r="AC90" i="57"/>
  <c r="AC125" i="57" s="1"/>
  <c r="K87" i="57"/>
  <c r="K90" i="57" s="1"/>
  <c r="K125" i="57" s="1"/>
  <c r="AC85" i="57"/>
  <c r="AC121" i="57" s="1"/>
  <c r="K82" i="57"/>
  <c r="K85" i="57" s="1"/>
  <c r="K121" i="57" s="1"/>
  <c r="M263" i="57"/>
  <c r="N263" i="57" s="1"/>
  <c r="AD82" i="57"/>
  <c r="AE67" i="57"/>
  <c r="AD87" i="57"/>
  <c r="AD77" i="57"/>
  <c r="AD68" i="57"/>
  <c r="AE70" i="57"/>
  <c r="AD69" i="57"/>
  <c r="AC119" i="57"/>
  <c r="AC123" i="57"/>
  <c r="AC115" i="57"/>
  <c r="E258" i="57"/>
  <c r="M264" i="57"/>
  <c r="N264" i="57" s="1"/>
  <c r="K264" i="57"/>
  <c r="L264" i="57" s="1"/>
  <c r="P265" i="57"/>
  <c r="Q265" i="57" s="1"/>
  <c r="R265" i="57"/>
  <c r="P264" i="57"/>
  <c r="Q264" i="57" s="1"/>
  <c r="R264" i="57"/>
  <c r="AC116" i="57"/>
  <c r="AC120" i="57"/>
  <c r="AC124" i="57"/>
  <c r="G256" i="57"/>
  <c r="AC129" i="57" l="1"/>
  <c r="AD80" i="57"/>
  <c r="AD117" i="57" s="1"/>
  <c r="L77" i="57"/>
  <c r="L80" i="57" s="1"/>
  <c r="L117" i="57" s="1"/>
  <c r="AD90" i="57"/>
  <c r="AD125" i="57" s="1"/>
  <c r="L87" i="57"/>
  <c r="L90" i="57" s="1"/>
  <c r="L125" i="57" s="1"/>
  <c r="AD85" i="57"/>
  <c r="AD121" i="57" s="1"/>
  <c r="L82" i="57"/>
  <c r="L85" i="57" s="1"/>
  <c r="L121" i="57" s="1"/>
  <c r="K129" i="57"/>
  <c r="H256" i="57" s="1"/>
  <c r="AB263" i="57" s="1"/>
  <c r="AD116" i="57"/>
  <c r="AD124" i="57"/>
  <c r="AD120" i="57"/>
  <c r="AE68" i="57"/>
  <c r="AE69" i="57"/>
  <c r="P263" i="57"/>
  <c r="Q263" i="57" s="1"/>
  <c r="R263" i="57"/>
  <c r="AD115" i="57"/>
  <c r="AD119" i="57"/>
  <c r="AD123" i="57"/>
  <c r="AC128" i="57"/>
  <c r="AE77" i="57"/>
  <c r="AE82" i="57"/>
  <c r="AE87" i="57"/>
  <c r="M265" i="57"/>
  <c r="N265" i="57" s="1"/>
  <c r="K265" i="57"/>
  <c r="L265" i="57" s="1"/>
  <c r="AC127" i="57"/>
  <c r="AD129" i="57" l="1"/>
  <c r="AE90" i="57"/>
  <c r="AE125" i="57" s="1"/>
  <c r="M87" i="57"/>
  <c r="M90" i="57" s="1"/>
  <c r="M125" i="57" s="1"/>
  <c r="H258" i="57"/>
  <c r="S263" i="57"/>
  <c r="T263" i="57" s="1"/>
  <c r="U263" i="57" s="1"/>
  <c r="V263" i="57" s="1"/>
  <c r="W263" i="57" s="1"/>
  <c r="X263" i="57" s="1"/>
  <c r="Y263" i="57" s="1"/>
  <c r="Z263" i="57" s="1"/>
  <c r="AA263" i="57" s="1"/>
  <c r="AE80" i="57"/>
  <c r="AE117" i="57" s="1"/>
  <c r="M77" i="57"/>
  <c r="M80" i="57" s="1"/>
  <c r="M117" i="57" s="1"/>
  <c r="H257" i="57"/>
  <c r="AE85" i="57"/>
  <c r="AE121" i="57" s="1"/>
  <c r="M82" i="57"/>
  <c r="M85" i="57" s="1"/>
  <c r="M121" i="57" s="1"/>
  <c r="L129" i="57"/>
  <c r="I256" i="57" s="1"/>
  <c r="AD128" i="57"/>
  <c r="AE120" i="57"/>
  <c r="AE116" i="57"/>
  <c r="AE124" i="57"/>
  <c r="AE115" i="57"/>
  <c r="AE119" i="57"/>
  <c r="AE123" i="57"/>
  <c r="AD127" i="57"/>
  <c r="AE129" i="57" l="1"/>
  <c r="AL263" i="57"/>
  <c r="AC263" i="57"/>
  <c r="AD263" i="57" s="1"/>
  <c r="AE263" i="57" s="1"/>
  <c r="AF263" i="57" s="1"/>
  <c r="AG263" i="57" s="1"/>
  <c r="AH263" i="57" s="1"/>
  <c r="AI263" i="57" s="1"/>
  <c r="AJ263" i="57" s="1"/>
  <c r="AK263" i="57" s="1"/>
  <c r="I258" i="57"/>
  <c r="AL265" i="57" s="1"/>
  <c r="M129" i="57"/>
  <c r="K257" i="57" s="1"/>
  <c r="AB264" i="57"/>
  <c r="S264" i="57"/>
  <c r="T264" i="57" s="1"/>
  <c r="U264" i="57" s="1"/>
  <c r="V264" i="57" s="1"/>
  <c r="W264" i="57" s="1"/>
  <c r="X264" i="57" s="1"/>
  <c r="Y264" i="57" s="1"/>
  <c r="Z264" i="57" s="1"/>
  <c r="AA264" i="57" s="1"/>
  <c r="I257" i="57"/>
  <c r="AB265" i="57"/>
  <c r="AC265" i="57" s="1"/>
  <c r="AD265" i="57" s="1"/>
  <c r="AE265" i="57" s="1"/>
  <c r="AF265" i="57" s="1"/>
  <c r="AG265" i="57" s="1"/>
  <c r="AH265" i="57" s="1"/>
  <c r="AI265" i="57" s="1"/>
  <c r="AJ265" i="57" s="1"/>
  <c r="AK265" i="57" s="1"/>
  <c r="S265" i="57"/>
  <c r="T265" i="57" s="1"/>
  <c r="U265" i="57" s="1"/>
  <c r="V265" i="57" s="1"/>
  <c r="W265" i="57" s="1"/>
  <c r="X265" i="57" s="1"/>
  <c r="Y265" i="57" s="1"/>
  <c r="Z265" i="57" s="1"/>
  <c r="AA265" i="57" s="1"/>
  <c r="AE127" i="57"/>
  <c r="AE128" i="57"/>
  <c r="K256" i="57" l="1"/>
  <c r="J256" i="57"/>
  <c r="AV263" i="57" s="1"/>
  <c r="AW263" i="57" s="1"/>
  <c r="J258" i="57"/>
  <c r="AM265" i="57" s="1"/>
  <c r="AN265" i="57" s="1"/>
  <c r="AO265" i="57" s="1"/>
  <c r="AP265" i="57" s="1"/>
  <c r="AQ265" i="57" s="1"/>
  <c r="AR265" i="57" s="1"/>
  <c r="AS265" i="57" s="1"/>
  <c r="AT265" i="57" s="1"/>
  <c r="AU265" i="57" s="1"/>
  <c r="J257" i="57"/>
  <c r="AC264" i="57"/>
  <c r="AD264" i="57" s="1"/>
  <c r="AE264" i="57" s="1"/>
  <c r="AF264" i="57" s="1"/>
  <c r="AG264" i="57" s="1"/>
  <c r="AH264" i="57" s="1"/>
  <c r="AI264" i="57" s="1"/>
  <c r="AJ264" i="57" s="1"/>
  <c r="AK264" i="57" s="1"/>
  <c r="AL264" i="57"/>
  <c r="AM264" i="57" s="1"/>
  <c r="AN264" i="57" s="1"/>
  <c r="AO264" i="57" s="1"/>
  <c r="AP264" i="57" s="1"/>
  <c r="AQ264" i="57" s="1"/>
  <c r="AR264" i="57" s="1"/>
  <c r="AS264" i="57" s="1"/>
  <c r="AT264" i="57" s="1"/>
  <c r="AU264" i="57" s="1"/>
  <c r="K258" i="57"/>
  <c r="AV265" i="57"/>
  <c r="AW265" i="57" s="1"/>
  <c r="AX265" i="57" s="1"/>
  <c r="AY265" i="57" s="1"/>
  <c r="AZ265" i="57"/>
  <c r="BA265" i="57" s="1"/>
  <c r="BB265" i="57" s="1"/>
  <c r="BC265" i="57" s="1"/>
  <c r="BD265" i="57" s="1"/>
  <c r="AM263" i="57"/>
  <c r="AN263" i="57" s="1"/>
  <c r="AO263" i="57" s="1"/>
  <c r="AP263" i="57" s="1"/>
  <c r="AQ263" i="57" s="1"/>
  <c r="AR263" i="57" s="1"/>
  <c r="AS263" i="57" s="1"/>
  <c r="AT263" i="57" s="1"/>
  <c r="AU263" i="57" s="1"/>
  <c r="AX263" i="57" l="1"/>
  <c r="AY263" i="57" s="1"/>
  <c r="AZ263" i="57"/>
  <c r="BA263" i="57" s="1"/>
  <c r="BB263" i="57" s="1"/>
  <c r="BC263" i="57" s="1"/>
  <c r="BD263" i="57" s="1"/>
  <c r="AV264" i="57"/>
  <c r="AW264" i="57" s="1"/>
  <c r="AX264" i="57" s="1"/>
  <c r="AY264" i="57" s="1"/>
  <c r="AZ264" i="57"/>
  <c r="BA264" i="57" s="1"/>
  <c r="BB264" i="57" s="1"/>
  <c r="BC264" i="57" s="1"/>
  <c r="BD264" i="57" s="1"/>
  <c r="R48" i="56"/>
  <c r="T48" i="56" l="1"/>
  <c r="U48" i="56" s="1"/>
  <c r="Z48" i="56"/>
  <c r="AB48" i="56" l="1"/>
  <c r="V48" i="56"/>
  <c r="AC48" i="56" l="1"/>
  <c r="AD48" i="56" l="1"/>
  <c r="P46" i="56"/>
  <c r="P77" i="56" s="1"/>
  <c r="P93" i="56" s="1"/>
  <c r="X93" i="56" s="1"/>
  <c r="G39" i="56"/>
  <c r="G40" i="56" s="1"/>
  <c r="G47" i="56" s="1"/>
  <c r="X46" i="56"/>
  <c r="T39" i="56"/>
  <c r="T40" i="56" s="1"/>
  <c r="T47" i="56" s="1"/>
  <c r="T87" i="56" s="1"/>
  <c r="I39" i="56" l="1"/>
  <c r="I40" i="56" s="1"/>
  <c r="I47" i="56" s="1"/>
  <c r="Q47" i="56" s="1"/>
  <c r="Q87" i="56" s="1"/>
  <c r="G46" i="56"/>
  <c r="K39" i="56"/>
  <c r="J39" i="56"/>
  <c r="J40" i="56" s="1"/>
  <c r="J47" i="56" s="1"/>
  <c r="H39" i="56"/>
  <c r="H46" i="56" s="1"/>
  <c r="P177" i="56" s="1"/>
  <c r="X77" i="56"/>
  <c r="G87" i="56"/>
  <c r="G89" i="56" s="1"/>
  <c r="G103" i="56"/>
  <c r="R46" i="56"/>
  <c r="R77" i="56" s="1"/>
  <c r="R93" i="56" s="1"/>
  <c r="Z93" i="56" s="1"/>
  <c r="R40" i="56"/>
  <c r="U39" i="56"/>
  <c r="V39" i="56"/>
  <c r="T46" i="56"/>
  <c r="T77" i="56" s="1"/>
  <c r="T93" i="56" s="1"/>
  <c r="L39" i="56"/>
  <c r="P40" i="56"/>
  <c r="I103" i="56" l="1"/>
  <c r="I87" i="56"/>
  <c r="I46" i="56"/>
  <c r="Q177" i="56" s="1"/>
  <c r="R47" i="56"/>
  <c r="R87" i="56" s="1"/>
  <c r="R89" i="56" s="1"/>
  <c r="Z40" i="56"/>
  <c r="Z47" i="56" s="1"/>
  <c r="Z87" i="56" s="1"/>
  <c r="P47" i="56"/>
  <c r="P87" i="56" s="1"/>
  <c r="P89" i="56" s="1"/>
  <c r="P73" i="56" s="1"/>
  <c r="X40" i="56"/>
  <c r="X47" i="56" s="1"/>
  <c r="X87" i="56" s="1"/>
  <c r="X89" i="56" s="1"/>
  <c r="AA47" i="56"/>
  <c r="AA87" i="56" s="1"/>
  <c r="AA46" i="56"/>
  <c r="AA77" i="56" s="1"/>
  <c r="J46" i="56"/>
  <c r="J93" i="56" s="1"/>
  <c r="H40" i="56"/>
  <c r="H47" i="56" s="1"/>
  <c r="H87" i="56" s="1"/>
  <c r="H89" i="56" s="1"/>
  <c r="Y46" i="56"/>
  <c r="Y47" i="56"/>
  <c r="Y87" i="56" s="1"/>
  <c r="N177" i="56"/>
  <c r="O177" i="56" s="1"/>
  <c r="L177" i="56"/>
  <c r="M177" i="56" s="1"/>
  <c r="I93" i="56"/>
  <c r="R177" i="56"/>
  <c r="Q46" i="56"/>
  <c r="Q77" i="56" s="1"/>
  <c r="Q93" i="56" s="1"/>
  <c r="Y93" i="56" s="1"/>
  <c r="K46" i="56"/>
  <c r="K40" i="56"/>
  <c r="K47" i="56" s="1"/>
  <c r="V46" i="56"/>
  <c r="V77" i="56" s="1"/>
  <c r="V40" i="56"/>
  <c r="V47" i="56" s="1"/>
  <c r="V87" i="56" s="1"/>
  <c r="N39" i="56"/>
  <c r="U40" i="56"/>
  <c r="U47" i="56" s="1"/>
  <c r="U87" i="56" s="1"/>
  <c r="U46" i="56"/>
  <c r="U77" i="56" s="1"/>
  <c r="U93" i="56" s="1"/>
  <c r="M39" i="56"/>
  <c r="J87" i="56"/>
  <c r="J103" i="56"/>
  <c r="U122" i="56" s="1"/>
  <c r="R148" i="56" s="1"/>
  <c r="P122" i="56"/>
  <c r="M148" i="56" s="1"/>
  <c r="N122" i="56"/>
  <c r="K148" i="56" s="1"/>
  <c r="T122" i="56"/>
  <c r="Q148" i="56" s="1"/>
  <c r="L46" i="56"/>
  <c r="L40" i="56"/>
  <c r="L47" i="56" s="1"/>
  <c r="AB39" i="56"/>
  <c r="Z46" i="56"/>
  <c r="Z77" i="56" s="1"/>
  <c r="T89" i="56"/>
  <c r="AA89" i="56" l="1"/>
  <c r="S177" i="56"/>
  <c r="V93" i="56"/>
  <c r="V89" i="56"/>
  <c r="H103" i="56"/>
  <c r="Y77" i="56"/>
  <c r="Y89" i="56" s="1"/>
  <c r="Q89" i="56"/>
  <c r="K103" i="56"/>
  <c r="V122" i="56" s="1"/>
  <c r="S148" i="56" s="1"/>
  <c r="K87" i="56"/>
  <c r="T112" i="56"/>
  <c r="Q138" i="56" s="1"/>
  <c r="N88" i="47" s="1"/>
  <c r="I77" i="56"/>
  <c r="I89" i="56" s="1"/>
  <c r="S112" i="56"/>
  <c r="P138" i="56" s="1"/>
  <c r="M88" i="47" s="1"/>
  <c r="O122" i="56"/>
  <c r="L148" i="56" s="1"/>
  <c r="M187" i="56" s="1"/>
  <c r="K93" i="56"/>
  <c r="T177" i="56"/>
  <c r="U177" i="56" s="1"/>
  <c r="V177" i="56" s="1"/>
  <c r="W177" i="56" s="1"/>
  <c r="X177" i="56" s="1"/>
  <c r="Y177" i="56" s="1"/>
  <c r="Z177" i="56" s="1"/>
  <c r="AA177" i="56" s="1"/>
  <c r="AB177" i="56" s="1"/>
  <c r="N187" i="56"/>
  <c r="J98" i="47"/>
  <c r="S187" i="56"/>
  <c r="O98" i="47"/>
  <c r="L93" i="56"/>
  <c r="AC177" i="56"/>
  <c r="J77" i="56"/>
  <c r="J89" i="56" s="1"/>
  <c r="U112" i="56"/>
  <c r="R138" i="56" s="1"/>
  <c r="O88" i="47" s="1"/>
  <c r="R122" i="56"/>
  <c r="Q122" i="56"/>
  <c r="N148" i="56" s="1"/>
  <c r="U89" i="56"/>
  <c r="L103" i="56"/>
  <c r="L87" i="56"/>
  <c r="R187" i="56"/>
  <c r="N98" i="47"/>
  <c r="M46" i="56"/>
  <c r="M40" i="56"/>
  <c r="M47" i="56" s="1"/>
  <c r="N46" i="56"/>
  <c r="N40" i="56"/>
  <c r="N47" i="56" s="1"/>
  <c r="AB40" i="56"/>
  <c r="AB47" i="56" s="1"/>
  <c r="AB87" i="56" s="1"/>
  <c r="AB46" i="56"/>
  <c r="AB77" i="56" s="1"/>
  <c r="AB93" i="56" s="1"/>
  <c r="AC39" i="56"/>
  <c r="Z89" i="56"/>
  <c r="L187" i="56"/>
  <c r="H98" i="47"/>
  <c r="I98" i="47" l="1"/>
  <c r="V112" i="56"/>
  <c r="S138" i="56" s="1"/>
  <c r="P88" i="47" s="1"/>
  <c r="K77" i="56"/>
  <c r="K89" i="56" s="1"/>
  <c r="P98" i="47"/>
  <c r="T187" i="56"/>
  <c r="W112" i="56"/>
  <c r="T138" i="56" s="1"/>
  <c r="Q88" i="47" s="1"/>
  <c r="AE112" i="56"/>
  <c r="AB138" i="56" s="1"/>
  <c r="Y88" i="47" s="1"/>
  <c r="L77" i="56"/>
  <c r="L89" i="56" s="1"/>
  <c r="AC40" i="56"/>
  <c r="AC47" i="56" s="1"/>
  <c r="AC87" i="56" s="1"/>
  <c r="AD39" i="56"/>
  <c r="AC46" i="56"/>
  <c r="AC77" i="56" s="1"/>
  <c r="AC93" i="56" s="1"/>
  <c r="AB89" i="56"/>
  <c r="O148" i="56"/>
  <c r="S122" i="56"/>
  <c r="P148" i="56" s="1"/>
  <c r="M87" i="56"/>
  <c r="M103" i="56"/>
  <c r="AD177" i="56"/>
  <c r="AE177" i="56" s="1"/>
  <c r="AF177" i="56" s="1"/>
  <c r="AG177" i="56" s="1"/>
  <c r="AH177" i="56" s="1"/>
  <c r="AI177" i="56" s="1"/>
  <c r="AJ177" i="56" s="1"/>
  <c r="AK177" i="56" s="1"/>
  <c r="AL177" i="56" s="1"/>
  <c r="M93" i="56"/>
  <c r="AM177" i="56"/>
  <c r="AN177" i="56" s="1"/>
  <c r="O187" i="56"/>
  <c r="K98" i="47"/>
  <c r="W122" i="56"/>
  <c r="T148" i="56" s="1"/>
  <c r="AE122" i="56"/>
  <c r="AB148" i="56" s="1"/>
  <c r="N103" i="56"/>
  <c r="N87" i="56"/>
  <c r="AO177" i="56"/>
  <c r="AP177" i="56" s="1"/>
  <c r="AQ177" i="56" s="1"/>
  <c r="N93" i="56"/>
  <c r="X112" i="56" l="1"/>
  <c r="X122" i="56"/>
  <c r="AY112" i="56"/>
  <c r="N77" i="56"/>
  <c r="N89" i="56" s="1"/>
  <c r="N90" i="56" s="1"/>
  <c r="AF122" i="56"/>
  <c r="AC148" i="56" s="1"/>
  <c r="AO122" i="56"/>
  <c r="AL148" i="56" s="1"/>
  <c r="AY122" i="56"/>
  <c r="AP122" i="56"/>
  <c r="AQ122" i="56" s="1"/>
  <c r="AR122" i="56" s="1"/>
  <c r="AS122" i="56" s="1"/>
  <c r="AT122" i="56" s="1"/>
  <c r="Y98" i="47"/>
  <c r="AC187" i="56"/>
  <c r="Q187" i="56"/>
  <c r="M98" i="47"/>
  <c r="U187" i="56"/>
  <c r="Q98" i="47"/>
  <c r="P187" i="56"/>
  <c r="L98" i="47"/>
  <c r="M77" i="56"/>
  <c r="M89" i="56" s="1"/>
  <c r="AO112" i="56"/>
  <c r="AL138" i="56" s="1"/>
  <c r="AI88" i="47" s="1"/>
  <c r="AF112" i="56"/>
  <c r="AC138" i="56" s="1"/>
  <c r="Z88" i="47" s="1"/>
  <c r="AD40" i="56"/>
  <c r="AD47" i="56" s="1"/>
  <c r="AD87" i="56" s="1"/>
  <c r="AD46" i="56"/>
  <c r="AD77" i="56" s="1"/>
  <c r="AC89" i="56"/>
  <c r="AD93" i="56" l="1"/>
  <c r="AD89" i="56"/>
  <c r="AG122" i="56"/>
  <c r="AD148" i="56" s="1"/>
  <c r="AA98" i="47" s="1"/>
  <c r="U138" i="56"/>
  <c r="R88" i="47" s="1"/>
  <c r="Y112" i="56"/>
  <c r="U148" i="56"/>
  <c r="Y122" i="56"/>
  <c r="AM148" i="56"/>
  <c r="AU122" i="56"/>
  <c r="AV122" i="56" s="1"/>
  <c r="AW122" i="56" s="1"/>
  <c r="AX122" i="56" s="1"/>
  <c r="AP112" i="56"/>
  <c r="AQ112" i="56" s="1"/>
  <c r="AR112" i="56" s="1"/>
  <c r="AS112" i="56" s="1"/>
  <c r="AT112" i="56" s="1"/>
  <c r="AN138" i="56"/>
  <c r="AK88" i="47" s="1"/>
  <c r="AZ112" i="56"/>
  <c r="AI98" i="47"/>
  <c r="AM187" i="56"/>
  <c r="AG112" i="56"/>
  <c r="Z98" i="47"/>
  <c r="AD187" i="56"/>
  <c r="AZ122" i="56"/>
  <c r="AN148" i="56"/>
  <c r="AE187" i="56" l="1"/>
  <c r="AH122" i="56"/>
  <c r="V138" i="56"/>
  <c r="S88" i="47" s="1"/>
  <c r="Z112" i="56"/>
  <c r="V148" i="56"/>
  <c r="Z122" i="56"/>
  <c r="V187" i="56"/>
  <c r="R98" i="47"/>
  <c r="AK98" i="47"/>
  <c r="AO187" i="56"/>
  <c r="BA122" i="56"/>
  <c r="AP148" i="56" s="1"/>
  <c r="AO148" i="56"/>
  <c r="AD138" i="56"/>
  <c r="AA88" i="47" s="1"/>
  <c r="AH112" i="56"/>
  <c r="AO138" i="56"/>
  <c r="AL88" i="47" s="1"/>
  <c r="BA112" i="56"/>
  <c r="AP138" i="56" s="1"/>
  <c r="AM88" i="47" s="1"/>
  <c r="AM138" i="56"/>
  <c r="AJ88" i="47" s="1"/>
  <c r="AU112" i="56"/>
  <c r="AV112" i="56" s="1"/>
  <c r="AW112" i="56" s="1"/>
  <c r="AX112" i="56" s="1"/>
  <c r="AN187" i="56"/>
  <c r="AJ98" i="47"/>
  <c r="AE148" i="56" l="1"/>
  <c r="AI122" i="56"/>
  <c r="W138" i="56"/>
  <c r="T88" i="47" s="1"/>
  <c r="AA112" i="56"/>
  <c r="AA122" i="56"/>
  <c r="W148" i="56"/>
  <c r="W187" i="56"/>
  <c r="S98" i="47"/>
  <c r="AE138" i="56"/>
  <c r="AB88" i="47" s="1"/>
  <c r="AI112" i="56"/>
  <c r="AL98" i="47"/>
  <c r="AP187" i="56"/>
  <c r="AQ187" i="56"/>
  <c r="AM98" i="47"/>
  <c r="AF148" i="56" l="1"/>
  <c r="AJ122" i="56"/>
  <c r="AF187" i="56"/>
  <c r="AB98" i="47"/>
  <c r="X138" i="56"/>
  <c r="U88" i="47" s="1"/>
  <c r="AB112" i="56"/>
  <c r="X187" i="56"/>
  <c r="T98" i="47"/>
  <c r="X148" i="56"/>
  <c r="AB122" i="56"/>
  <c r="AF138" i="56"/>
  <c r="AC88" i="47" s="1"/>
  <c r="AJ112" i="56"/>
  <c r="AK122" i="56" l="1"/>
  <c r="AG148" i="56"/>
  <c r="AG187" i="56"/>
  <c r="AC98" i="47"/>
  <c r="AC112" i="56"/>
  <c r="Y138" i="56"/>
  <c r="V88" i="47" s="1"/>
  <c r="AC122" i="56"/>
  <c r="Y148" i="56"/>
  <c r="U98" i="47"/>
  <c r="Y187" i="56"/>
  <c r="AG138" i="56"/>
  <c r="AD88" i="47" s="1"/>
  <c r="AK112" i="56"/>
  <c r="AH187" i="56" l="1"/>
  <c r="AD98" i="47"/>
  <c r="AH148" i="56"/>
  <c r="AL122" i="56"/>
  <c r="Z138" i="56"/>
  <c r="W88" i="47" s="1"/>
  <c r="AD112" i="56"/>
  <c r="AA138" i="56" s="1"/>
  <c r="X88" i="47" s="1"/>
  <c r="V98" i="47"/>
  <c r="Z187" i="56"/>
  <c r="Z148" i="56"/>
  <c r="AD122" i="56"/>
  <c r="AA148" i="56" s="1"/>
  <c r="AH138" i="56"/>
  <c r="AE88" i="47" s="1"/>
  <c r="AL112" i="56"/>
  <c r="AI148" i="56" l="1"/>
  <c r="AM122" i="56"/>
  <c r="AI187" i="56"/>
  <c r="AE98" i="47"/>
  <c r="AB187" i="56"/>
  <c r="X98" i="47"/>
  <c r="AA187" i="56"/>
  <c r="W98" i="47"/>
  <c r="AI138" i="56"/>
  <c r="AF88" i="47" s="1"/>
  <c r="AM112" i="56"/>
  <c r="AJ148" i="56" l="1"/>
  <c r="AN122" i="56"/>
  <c r="AK148" i="56" s="1"/>
  <c r="AF98" i="47"/>
  <c r="AJ187" i="56"/>
  <c r="AJ138" i="56"/>
  <c r="AG88" i="47" s="1"/>
  <c r="AN112" i="56"/>
  <c r="AK138" i="56" s="1"/>
  <c r="AH88" i="47" s="1"/>
  <c r="AL187" i="56" l="1"/>
  <c r="AH98" i="47"/>
  <c r="AG98" i="47"/>
  <c r="AK187" i="5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bryce</author>
    <author>Bruno Merven</author>
  </authors>
  <commentList>
    <comment ref="G11" authorId="0" shapeId="0" xr:uid="{5BF6C685-79E0-4FDC-9D79-C3359D0C9091}">
      <text>
        <r>
          <rPr>
            <b/>
            <sz val="9"/>
            <color indexed="81"/>
            <rFont val="Tahoma"/>
            <family val="2"/>
          </rPr>
          <t>bruno:</t>
        </r>
        <r>
          <rPr>
            <sz val="9"/>
            <color indexed="81"/>
            <rFont val="Tahoma"/>
            <family val="2"/>
          </rPr>
          <t xml:space="preserve">
Made this equal to mining to be consistent with statsSA. This could be reviewed in the future.</t>
        </r>
      </text>
    </comment>
    <comment ref="E41"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1"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1" authorId="1" shapeId="0" xr:uid="{D657ADCE-0F86-41BC-9AA7-7D20BAFA6361}">
      <text>
        <r>
          <rPr>
            <b/>
            <sz val="8"/>
            <color indexed="81"/>
            <rFont val="Tahoma"/>
            <family val="2"/>
          </rPr>
          <t>Bruno Merven:</t>
        </r>
        <r>
          <rPr>
            <sz val="8"/>
            <color indexed="81"/>
            <rFont val="Tahoma"/>
            <family val="2"/>
          </rPr>
          <t xml:space="preserve">
guessed for now</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M23" authorId="0" shapeId="0" xr:uid="{59A0E19D-30DA-41B4-AF79-8601570C1996}">
      <text>
        <r>
          <rPr>
            <b/>
            <sz val="9"/>
            <color indexed="81"/>
            <rFont val="Tahoma"/>
            <family val="2"/>
          </rPr>
          <t>bruno merven:</t>
        </r>
        <r>
          <rPr>
            <sz val="9"/>
            <color indexed="81"/>
            <rFont val="Tahoma"/>
            <family val="2"/>
          </rPr>
          <t xml:space="preserve">
historical</t>
        </r>
      </text>
    </comment>
    <comment ref="N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L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tc={D83F73A4-4026-4CA1-8B74-47F3F994A01F}</author>
    <author>Fadiel</author>
    <author>Bruno Merven</author>
  </authors>
  <commentList>
    <comment ref="O10" authorId="0" shapeId="0" xr:uid="{745D0731-7A88-4699-89C7-B4A1D8E2B318}">
      <text>
        <r>
          <rPr>
            <b/>
            <sz val="9"/>
            <color indexed="81"/>
            <rFont val="Tahoma"/>
            <family val="2"/>
          </rPr>
          <t>fadiel:</t>
        </r>
        <r>
          <rPr>
            <sz val="9"/>
            <color indexed="81"/>
            <rFont val="Tahoma"/>
            <family val="2"/>
          </rPr>
          <t xml:space="preserve">
check  NHTS (2013); GHS (2019)</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E27" authorId="2" shapeId="0" xr:uid="{D83F73A4-4026-4CA1-8B74-47F3F994A01F}">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4"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7" authorId="4"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 ref="C138" authorId="3" shapeId="0" xr:uid="{48CF8539-165E-4953-9802-A2266282C685}">
      <text/>
    </comment>
    <comment ref="P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3" authorId="3" shapeId="0" xr:uid="{B4E6BB96-02F2-4CF1-922A-F78825FA79EC}">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B16"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16" authorId="1" shapeId="0" xr:uid="{00000000-0006-0000-1600-000002000000}">
      <text>
        <r>
          <rPr>
            <b/>
            <sz val="8"/>
            <color indexed="81"/>
            <rFont val="Tahoma"/>
            <family val="2"/>
          </rPr>
          <t>Bruno Merven:</t>
        </r>
        <r>
          <rPr>
            <sz val="8"/>
            <color indexed="81"/>
            <rFont val="Tahoma"/>
            <family val="2"/>
          </rPr>
          <t xml:space="preserve">
From 2006 Energy Balance</t>
        </r>
      </text>
    </comment>
    <comment ref="K22" authorId="2" shapeId="0" xr:uid="{00000000-0006-0000-1600-000003000000}">
      <text>
        <r>
          <rPr>
            <b/>
            <sz val="9"/>
            <color indexed="81"/>
            <rFont val="Tahoma"/>
            <family val="2"/>
          </rPr>
          <t>bruno merven:</t>
        </r>
        <r>
          <rPr>
            <sz val="9"/>
            <color indexed="81"/>
            <rFont val="Tahoma"/>
            <family val="2"/>
          </rPr>
          <t xml:space="preserve">
2013 EB
</t>
        </r>
      </text>
    </comment>
    <comment ref="L22"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<sst xmlns="http://schemas.openxmlformats.org/spreadsheetml/2006/main" count="4185" uniqueCount="661">
  <si>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</si>
  <si>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</si>
  <si>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</si>
  <si>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</si>
  <si>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</si>
  <si>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</si>
  <si>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</si>
  <si>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</si>
  <si>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</si>
  <si>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</si>
  <si>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</si>
  <si>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</si>
  <si>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</si>
  <si>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</si>
  <si>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</si>
  <si>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</si>
  <si>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</si>
  <si>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</si>
  <si>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</si>
  <si>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</si>
  <si>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</si>
  <si>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</si>
  <si>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</si>
  <si>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</si>
  <si>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</si>
  <si>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</si>
  <si>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</si>
  <si>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</si>
  <si>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</si>
  <si>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</si>
  <si>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</si>
  <si>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</si>
  <si>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</si>
  <si>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</si>
  <si>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</si>
  <si>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</si>
  <si>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</si>
  <si>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</si>
  <si>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</si>
  <si>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</si>
  <si>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</si>
  <si>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</si>
  <si>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</si>
  <si>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</si>
  <si>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</si>
  <si>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</si>
  <si>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</si>
  <si>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</si>
  <si>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</si>
  <si>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</si>
  <si>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</si>
  <si>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</si>
  <si>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</si>
  <si>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</si>
  <si>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</si>
  <si>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</si>
  <si>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</si>
  <si>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</si>
  <si>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</si>
  <si>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</si>
  <si>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</si>
  <si>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</si>
  <si>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</si>
  <si>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</si>
  <si>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</si>
  <si>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</si>
  <si>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</si>
  <si>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</si>
  <si>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</si>
  <si>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</si>
  <si>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</si>
  <si>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</si>
  <si>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</si>
  <si>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</si>
  <si>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</si>
  <si>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</si>
  <si>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</si>
  <si>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</si>
  <si>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</si>
  <si>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</si>
  <si>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</si>
  <si>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</si>
  <si>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</si>
  <si>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</si>
  <si>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</si>
  <si>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</si>
  <si>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</si>
  <si>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</si>
  <si>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</si>
  <si>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</si>
  <si>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</si>
  <si>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</si>
  <si>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</si>
  <si>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</si>
  <si>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</si>
  <si>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</si>
  <si>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</si>
  <si>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</si>
  <si>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</si>
  <si>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</si>
  <si>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</si>
  <si>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</si>
  <si>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</si>
  <si>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</si>
  <si>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</si>
  <si>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</si>
  <si>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</si>
  <si>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</si>
  <si>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</si>
  <si>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</si>
  <si>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</si>
  <si>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</si>
  <si>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</si>
  <si>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</si>
  <si>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</si>
  <si>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</si>
  <si>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</si>
  <si>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</si>
  <si>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</si>
  <si>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</si>
  <si>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</si>
  <si>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</si>
  <si>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</si>
  <si>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</si>
  <si>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</si>
  <si>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</si>
  <si>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</si>
  <si>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</si>
  <si>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</si>
  <si>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</si>
  <si>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</si>
  <si>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</si>
  <si>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</si>
  <si>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</si>
  <si>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</si>
  <si>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</si>
  <si>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</si>
  <si>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</si>
  <si>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</si>
  <si>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</si>
  <si>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</si>
  <si>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</si>
  <si>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</si>
  <si>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</si>
  <si>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</si>
  <si>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</si>
  <si>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</si>
  <si>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</si>
  <si>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</si>
  <si>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</si>
  <si>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</si>
  <si>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</si>
  <si>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</si>
  <si>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</si>
  <si>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</si>
  <si>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</si>
  <si>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</si>
  <si>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</si>
  <si>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</si>
  <si>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</si>
  <si>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</si>
  <si>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</si>
  <si>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</si>
  <si>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</si>
  <si>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</si>
  <si>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</si>
  <si>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</si>
  <si>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</si>
  <si>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</si>
  <si>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</si>
  <si>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</si>
  <si>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</si>
  <si>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</si>
  <si>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</si>
  <si>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</si>
  <si>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</si>
  <si>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</si>
  <si>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</si>
  <si>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</si>
  <si>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</si>
  <si>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</si>
  <si>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</si>
  <si>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</si>
  <si>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</si>
  <si>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</si>
  <si>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</si>
  <si>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</si>
  <si>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</si>
  <si>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</si>
  <si>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</si>
  <si>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</si>
  <si>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</si>
  <si>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</si>
  <si>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</si>
  <si>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</si>
  <si>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</si>
  <si>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</si>
  <si>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</si>
  <si>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</si>
  <si>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</si>
  <si>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</si>
  <si>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</si>
  <si>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</si>
  <si>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</si>
  <si>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</si>
  <si>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</si>
  <si>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</si>
  <si>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</si>
  <si>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</si>
  <si>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</si>
  <si>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</si>
  <si>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</si>
  <si>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</si>
  <si>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</si>
  <si>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</si>
  <si>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</si>
  <si>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</si>
  <si>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</si>
  <si>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</si>
  <si>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</si>
  <si>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</si>
  <si>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</si>
  <si>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</si>
  <si>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</si>
  <si>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</si>
  <si>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</si>
  <si>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</si>
  <si>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</si>
  <si>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</si>
  <si>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</si>
  <si>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</si>
  <si>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</si>
  <si>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</si>
  <si>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</si>
  <si>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</si>
  <si>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</si>
  <si>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</si>
  <si>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</si>
  <si>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</si>
  <si>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</si>
  <si>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</si>
  <si>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</si>
  <si>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</si>
  <si>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</si>
  <si>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</si>
  <si>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</si>
  <si>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</si>
  <si>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</si>
  <si>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</si>
  <si>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</si>
  <si>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</si>
  <si>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</si>
  <si>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</si>
  <si>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</si>
  <si>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</si>
  <si>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</si>
  <si>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</si>
  <si>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</si>
  <si>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</si>
  <si>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</si>
  <si>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</si>
  <si>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</si>
  <si>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</si>
  <si>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</si>
  <si>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</si>
  <si>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</si>
  <si>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</si>
  <si>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</si>
  <si>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</si>
  <si>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</si>
  <si>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</si>
  <si>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</si>
  <si>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</si>
  <si>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</si>
  <si>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</si>
  <si>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</si>
  <si>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</si>
  <si>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</si>
  <si>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</si>
  <si>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</si>
  <si>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</si>
  <si>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</si>
  <si>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</si>
  <si>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</si>
  <si>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</si>
  <si>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</si>
  <si>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</si>
  <si>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</si>
  <si>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</si>
  <si>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</si>
  <si>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</si>
  <si>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</si>
  <si>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</si>
  <si>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</si>
  <si>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</si>
  <si>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</si>
  <si>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</si>
  <si>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</si>
  <si>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</si>
  <si>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</si>
  <si>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</si>
  <si>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</si>
  <si>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</si>
  <si>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</si>
  <si>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</si>
  <si>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</si>
  <si>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</si>
  <si>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</si>
  <si>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</si>
  <si>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</si>
  <si>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</si>
  <si>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</si>
  <si>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</si>
  <si>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</si>
  <si>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</si>
  <si>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</si>
  <si>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</si>
  <si>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</si>
  <si>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</si>
  <si>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</si>
  <si>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</si>
  <si>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</si>
  <si>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</si>
  <si>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</si>
  <si>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</si>
  <si>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</si>
  <si>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</si>
  <si>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</si>
  <si>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</si>
  <si>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</si>
  <si>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</si>
  <si>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</si>
  <si>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</si>
  <si>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</si>
  <si>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</si>
  <si>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</si>
  <si>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</si>
  <si>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</si>
  <si>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</si>
  <si>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</si>
  <si>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</si>
  <si>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</si>
  <si>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</si>
  <si>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</si>
  <si>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</si>
  <si>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</si>
  <si>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</si>
  <si>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</si>
  <si>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</si>
  <si>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</si>
  <si>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</si>
  <si>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</si>
  <si>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</si>
  <si>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</si>
  <si>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</si>
  <si>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</si>
  <si>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</si>
  <si>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</si>
  <si>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</si>
  <si>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</si>
  <si>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</si>
  <si>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</si>
  <si>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</si>
  <si>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</si>
  <si>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</si>
  <si>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</si>
  <si>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</si>
  <si>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</si>
  <si>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</si>
  <si>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</si>
  <si>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</si>
  <si>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</si>
  <si>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</si>
  <si>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</si>
  <si>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</si>
  <si>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</si>
  <si>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</si>
  <si>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</si>
  <si>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</si>
  <si>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</si>
  <si>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</si>
  <si>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</si>
  <si>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</si>
  <si>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</si>
  <si>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</si>
  <si>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</si>
  <si>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</si>
  <si>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</si>
  <si>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</si>
  <si>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</si>
  <si>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</si>
  <si>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</si>
  <si>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</si>
  <si>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</si>
  <si>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</si>
  <si>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</si>
  <si>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</si>
  <si>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</si>
  <si>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</si>
  <si>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</si>
  <si>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</si>
  <si>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</si>
  <si>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</si>
  <si>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</si>
  <si>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</si>
  <si>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</si>
  <si>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</si>
  <si>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</si>
  <si>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</si>
  <si>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</si>
  <si>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</si>
  <si>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</si>
  <si>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</si>
  <si>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</si>
  <si>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</si>
  <si>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</si>
  <si>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</si>
  <si>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</si>
  <si>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</si>
  <si>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</si>
  <si>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</si>
  <si>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</si>
  <si>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</si>
  <si>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</si>
  <si>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</si>
  <si>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</si>
  <si>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</si>
  <si>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</si>
  <si>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</si>
  <si>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</si>
  <si>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</si>
  <si>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</si>
  <si>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</si>
  <si>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</si>
  <si>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</si>
  <si>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</si>
  <si>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</si>
  <si>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</si>
  <si>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</si>
  <si>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</si>
  <si>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</si>
  <si>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</si>
  <si>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</si>
  <si>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</si>
  <si>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</si>
  <si>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</si>
  <si>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</si>
  <si>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</si>
  <si>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</si>
  <si>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</si>
  <si>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</si>
  <si>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</si>
  <si>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</si>
  <si>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</si>
  <si>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</si>
  <si>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</si>
  <si>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</si>
  <si>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</si>
  <si>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</si>
  <si>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</si>
  <si>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</si>
  <si>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</si>
  <si>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</si>
  <si>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</si>
  <si>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</si>
  <si>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</si>
  <si>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</si>
  <si>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</si>
  <si>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</si>
  <si>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</si>
  <si>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</si>
  <si>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</si>
  <si>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</si>
  <si>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</si>
  <si>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</si>
  <si>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</si>
  <si>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</si>
  <si>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</si>
  <si>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</si>
  <si>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</si>
  <si>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</si>
  <si>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</si>
  <si>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</si>
  <si>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</si>
  <si>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</si>
  <si>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</si>
  <si>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</si>
  <si>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</si>
  <si>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</si>
  <si>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</si>
  <si>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</si>
  <si>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</si>
  <si>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</si>
  <si>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</si>
  <si>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</si>
  <si>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</si>
  <si>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</si>
  <si>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</si>
  <si>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</si>
  <si>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</si>
  <si>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</si>
  <si>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</si>
  <si>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</si>
  <si>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</si>
  <si>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</si>
  <si>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</si>
  <si>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</si>
  <si>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</si>
  <si>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</si>
  <si>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</si>
  <si>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</si>
  <si>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</si>
  <si>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</si>
  <si>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</si>
  <si>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</si>
  <si>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</si>
  <si>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1 and 2</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</si>
  <si>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</si>
  <si>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</si>
  <si>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</si>
  <si>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</si>
  <si>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</si>
  <si>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</si>
  <si>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</si>
  <si>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</si>
  <si>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</si>
  <si>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</si>
  <si>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</si>
  <si>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</si>
  <si>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</si>
  <si>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</si>
  <si>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</si>
  <si>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</si>
  <si>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</si>
  <si>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</si>
  <si>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</si>
  <si>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</si>
  <si>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</si>
  <si>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</si>
  <si>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</si>
  <si>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</si>
  <si>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</si>
  <si>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</si>
  <si>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</si>
  <si>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</si>
  <si>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</si>
  <si>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</si>
  <si>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</si>
  <si>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</si>
  <si>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</si>
  <si>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</si>
  <si>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</si>
  <si>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</si>
  <si>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 xml:space="preserve"> -1 Reference</t>
  </si>
  <si>
    <t>0 Reference</t>
  </si>
  <si>
    <t>1 PAM2</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</si>
  <si>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</si>
  <si>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</si>
  <si>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</si>
  <si>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</si>
  <si>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</si>
  <si>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</si>
  <si>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</si>
  <si>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</si>
  <si>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</si>
  <si>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</si>
  <si>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</si>
  <si>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</si>
  <si>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</si>
  <si>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</si>
  <si>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</si>
  <si>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</si>
  <si>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</si>
  <si>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</si>
  <si>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</si>
  <si>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</si>
  <si>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</si>
  <si>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</si>
  <si>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</si>
  <si>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</si>
  <si>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</si>
  <si>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</si>
  <si>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</si>
  <si>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</si>
  <si>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</si>
  <si>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</si>
  <si>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</si>
  <si>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</si>
  <si>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</si>
  <si>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</si>
  <si>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</si>
  <si>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</si>
  <si>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</si>
  <si>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</si>
  <si>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</si>
  <si>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</si>
  <si>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</si>
  <si>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</si>
  <si>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trana</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</si>
  <si>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</si>
  <si>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</si>
  <si>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</si>
  <si>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</si>
  <si>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</si>
  <si>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</si>
  <si>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</si>
  <si>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</si>
  <si>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</si>
  <si>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</si>
  <si>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</si>
  <si>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</si>
  <si>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</si>
  <si>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</si>
  <si>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</si>
  <si>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</si>
  <si>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IFAM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</si>
  <si>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</si>
  <si>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</si>
  <si>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</si>
  <si>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</si>
  <si>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</si>
  <si>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</si>
  <si>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</si>
  <si>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</si>
  <si>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</si>
  <si>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</si>
  <si>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</si>
  <si>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</si>
  <si>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</si>
  <si>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</si>
  <si>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</si>
  <si>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2014 calib</t>
  </si>
  <si>
    <t>Loaded scenario</t>
  </si>
  <si>
    <t>https://dataportal.opendataforafrica.org/nbyenxf/afdb-socio-economic-database-1960-2021</t>
  </si>
  <si>
    <t>Put the link back in L57 when done</t>
  </si>
  <si>
    <t>savings</t>
  </si>
  <si>
    <t>All H</t>
  </si>
  <si>
    <t>Standards distinguish between new and old buildings so ideally this should recognise new/old split</t>
  </si>
  <si>
    <t>ratio</t>
  </si>
  <si>
    <t>existing to new buildings</t>
  </si>
  <si>
    <t>All L</t>
  </si>
  <si>
    <t>Standards say from 2015 level</t>
  </si>
  <si>
    <t>L Commercial buildings only - 25%</t>
  </si>
  <si>
    <t>L Public buildings (50%) &amp; services (20%)</t>
  </si>
  <si>
    <t>GVA_FS</t>
  </si>
  <si>
    <t>TFHPOP</t>
  </si>
  <si>
    <t>agr</t>
  </si>
  <si>
    <t>PAMS_RUN</t>
  </si>
  <si>
    <t>RES</t>
  </si>
  <si>
    <t>TRA</t>
  </si>
  <si>
    <t>WASTE</t>
  </si>
  <si>
    <t>AFOLU</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</si>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</sst>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0">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s>
  <fills count="82">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s>
  <borders count="60">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s>
  <cellStyleXfs count="4431">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6" applyNumberFormat="0" applyFill="0" applyAlignment="0" applyProtection="0"/>
    <xf numFmtId="0" fontId="26" fillId="0" borderId="7" applyNumberFormat="0" applyFill="0" applyAlignment="0" applyProtection="0"/>
    <xf numFmtId="0" fontId="26" fillId="0" borderId="7"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5" applyNumberFormat="0" applyAlignment="0" applyProtection="0"/>
    <xf numFmtId="0" fontId="28" fillId="6" borderId="5"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8"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0" applyNumberFormat="0" applyFill="0" applyAlignment="0" applyProtection="0"/>
    <xf numFmtId="0" fontId="48" fillId="0" borderId="0"/>
    <xf numFmtId="0" fontId="50" fillId="0" borderId="20"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5"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5"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7" fillId="65" borderId="29" applyNumberFormat="0" applyAlignment="0" applyProtection="0"/>
    <xf numFmtId="171" fontId="19" fillId="5" borderId="5"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7" fillId="65" borderId="29" applyNumberFormat="0" applyAlignment="0" applyProtection="0"/>
    <xf numFmtId="0" fontId="68" fillId="5" borderId="5"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70" fillId="13" borderId="23"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1" applyNumberFormat="0" applyAlignment="0" applyProtection="0">
      <alignment horizontal="left" vertical="center"/>
    </xf>
    <xf numFmtId="171" fontId="90" fillId="0" borderId="31" applyNumberFormat="0" applyAlignment="0" applyProtection="0">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0" fontId="44" fillId="0" borderId="20" applyNumberFormat="0" applyFill="0" applyAlignment="0" applyProtection="0"/>
    <xf numFmtId="171"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71" fontId="93" fillId="0" borderId="33" applyNumberFormat="0" applyFill="0" applyAlignment="0" applyProtection="0"/>
    <xf numFmtId="171" fontId="44" fillId="0" borderId="20"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71" fontId="93"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25" fillId="0" borderId="6" applyNumberFormat="0" applyFill="0" applyAlignment="0" applyProtection="0"/>
    <xf numFmtId="0" fontId="95" fillId="0" borderId="6"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7"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0" fontId="97" fillId="0" borderId="34" applyNumberFormat="0" applyFill="0" applyAlignment="0" applyProtection="0"/>
    <xf numFmtId="171" fontId="25" fillId="0" borderId="6" applyNumberFormat="0" applyFill="0" applyAlignment="0" applyProtection="0"/>
    <xf numFmtId="171" fontId="96" fillId="0" borderId="34" applyNumberFormat="0" applyFill="0" applyAlignment="0" applyProtection="0"/>
    <xf numFmtId="171" fontId="96" fillId="0" borderId="34" applyNumberFormat="0" applyFill="0" applyAlignment="0" applyProtection="0"/>
    <xf numFmtId="171" fontId="97" fillId="0" borderId="34" applyNumberFormat="0" applyFill="0" applyAlignment="0" applyProtection="0"/>
    <xf numFmtId="0" fontId="98" fillId="0" borderId="6"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12" fillId="0" borderId="35" applyNumberFormat="0" applyFill="0" applyAlignment="0" applyProtection="0"/>
    <xf numFmtId="0" fontId="12" fillId="0" borderId="35" applyNumberFormat="0" applyFill="0" applyAlignment="0" applyProtection="0"/>
    <xf numFmtId="0" fontId="100" fillId="0" borderId="35" applyNumberFormat="0" applyFill="0" applyAlignment="0" applyProtection="0"/>
    <xf numFmtId="171" fontId="26" fillId="0" borderId="7" applyNumberFormat="0" applyFill="0" applyAlignment="0" applyProtection="0"/>
    <xf numFmtId="171" fontId="12" fillId="0" borderId="35" applyNumberFormat="0" applyFill="0" applyAlignment="0" applyProtection="0"/>
    <xf numFmtId="171" fontId="12" fillId="0" borderId="35" applyNumberFormat="0" applyFill="0" applyAlignment="0" applyProtection="0"/>
    <xf numFmtId="171" fontId="100" fillId="0" borderId="35" applyNumberFormat="0" applyFill="0" applyAlignment="0" applyProtection="0"/>
    <xf numFmtId="0" fontId="101" fillId="0" borderId="7"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5" applyNumberFormat="0" applyAlignment="0" applyProtection="0"/>
    <xf numFmtId="171" fontId="28" fillId="69" borderId="5"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4" fillId="46" borderId="29" applyNumberFormat="0" applyAlignment="0" applyProtection="0"/>
    <xf numFmtId="0" fontId="28" fillId="6" borderId="5"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4"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0" fontId="114" fillId="45" borderId="29" applyNumberFormat="0" applyAlignment="0" applyProtection="0"/>
    <xf numFmtId="171" fontId="28" fillId="6" borderId="5" applyNumberFormat="0" applyAlignment="0" applyProtection="0"/>
    <xf numFmtId="0" fontId="28" fillId="6" borderId="5"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171" fontId="114" fillId="45" borderId="29" applyNumberFormat="0" applyAlignment="0" applyProtection="0"/>
    <xf numFmtId="0" fontId="115" fillId="6" borderId="5"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2"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52"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1" applyNumberFormat="0" applyAlignment="0" applyProtection="0"/>
    <xf numFmtId="0" fontId="46" fillId="5" borderId="21"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6"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6" fillId="65" borderId="40" applyNumberFormat="0" applyAlignment="0" applyProtection="0"/>
    <xf numFmtId="0" fontId="137" fillId="5" borderId="21"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1" applyNumberFormat="0">
      <alignment horizontal="left" vertical="center"/>
    </xf>
    <xf numFmtId="0" fontId="144" fillId="0" borderId="0" applyNumberFormat="0" applyFill="0" applyBorder="0" applyAlignment="0" applyProtection="0">
      <alignment vertical="center"/>
    </xf>
    <xf numFmtId="0" fontId="145" fillId="0" borderId="24"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6" fillId="65" borderId="54" applyNumberFormat="0" applyAlignment="0" applyProtection="0"/>
    <xf numFmtId="0" fontId="66" fillId="65" borderId="54" applyNumberFormat="0" applyAlignment="0" applyProtection="0"/>
    <xf numFmtId="0"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171" fontId="113" fillId="45" borderId="51" applyNumberFormat="0" applyAlignment="0" applyProtection="0"/>
    <xf numFmtId="171" fontId="113" fillId="45" borderId="51" applyNumberFormat="0" applyAlignment="0" applyProtection="0"/>
    <xf numFmtId="171"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4" applyNumberFormat="0" applyAlignment="0" applyProtection="0"/>
    <xf numFmtId="171" fontId="113" fillId="46" borderId="54" applyNumberFormat="0" applyAlignment="0" applyProtection="0"/>
    <xf numFmtId="171" fontId="113" fillId="46"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135" fillId="65" borderId="57" applyNumberFormat="0" applyAlignment="0" applyProtection="0"/>
    <xf numFmtId="0" fontId="135" fillId="65" borderId="57" applyNumberFormat="0" applyAlignment="0" applyProtection="0"/>
    <xf numFmtId="0"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171" fontId="66" fillId="65" borderId="51" applyNumberFormat="0" applyAlignment="0" applyProtection="0"/>
    <xf numFmtId="171" fontId="66" fillId="65" borderId="51" applyNumberFormat="0" applyAlignment="0" applyProtection="0"/>
    <xf numFmtId="171"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79" borderId="0" applyNumberFormat="0" applyBorder="0" applyAlignment="0" applyProtection="0"/>
    <xf numFmtId="167" fontId="51" fillId="0" borderId="0" applyFont="0" applyFill="0" applyBorder="0" applyAlignment="0" applyProtection="0"/>
    <xf numFmtId="0" fontId="32" fillId="0" borderId="0"/>
    <xf numFmtId="0" fontId="164" fillId="0" borderId="0"/>
    <xf numFmtId="0" fontId="156" fillId="0" borderId="0" applyNumberFormat="0" applyFill="0" applyBorder="0" applyAlignment="0" applyProtection="0"/>
  </cellStyleXfs>
  <cellXfs count="334">
    <xf numFmtId="0" fontId="0" fillId="0" borderId="0" xfId="0"/>
    <xf numFmtId="0" fontId="0" fillId="0" borderId="0" xfId="0"/>
    <xf numFmtId="0" fontId="0" fillId="0" borderId="0" xfId="0"/>
    <xf numFmtId="2" fontId="34" fillId="0" borderId="0" xfId="0" applyNumberFormat="1" applyFont="1"/>
    <xf numFmtId="0" fontId="0" fillId="0" borderId="0" xfId="0"/>
    <xf numFmtId="0" fontId="34" fillId="0" borderId="0" xfId="0" applyFont="1"/>
    <xf numFmtId="2" fontId="0" fillId="0" borderId="0" xfId="0" applyNumberFormat="1"/>
    <xf numFmtId="0" fontId="36" fillId="0" borderId="0" xfId="0" applyFont="1"/>
    <xf numFmtId="1" fontId="0" fillId="0" borderId="0" xfId="0" applyNumberFormat="1"/>
    <xf numFmtId="0" fontId="0" fillId="0" borderId="0" xfId="0" applyBorder="1"/>
    <xf numFmtId="173" fontId="0" fillId="0" borderId="0" xfId="0" applyNumberFormat="1"/>
    <xf numFmtId="3" fontId="0" fillId="0" borderId="0" xfId="0" applyNumberFormat="1"/>
    <xf numFmtId="0" fontId="17" fillId="4" borderId="0" xfId="3"/>
    <xf numFmtId="2" fontId="0" fillId="0" borderId="0" xfId="0" applyNumberFormat="1" applyBorder="1"/>
    <xf numFmtId="0" fontId="26" fillId="0" borderId="7" xfId="21"/>
    <xf numFmtId="0" fontId="0" fillId="0" borderId="0" xfId="0" applyFill="1" applyBorder="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applyFill="1"/>
    <xf numFmtId="0" fontId="26" fillId="0" borderId="7" xfId="21" applyAlignment="1">
      <alignment horizontal="left"/>
    </xf>
    <xf numFmtId="0" fontId="2" fillId="0" borderId="0" xfId="0" applyFont="1" applyFill="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Fill="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8" fillId="6" borderId="5" xfId="27" applyNumberFormat="1"/>
    <xf numFmtId="0" fontId="0" fillId="0" borderId="0" xfId="0" quotePrefix="1"/>
    <xf numFmtId="175" fontId="0" fillId="0" borderId="0" xfId="0" applyNumberFormat="1"/>
    <xf numFmtId="0" fontId="25" fillId="0" borderId="6"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0" fontId="10" fillId="0" borderId="0" xfId="33" applyFont="1" applyFill="1"/>
    <xf numFmtId="2" fontId="10" fillId="0" borderId="0" xfId="33" applyNumberFormat="1" applyFont="1" applyFill="1"/>
    <xf numFmtId="2" fontId="28" fillId="6" borderId="5" xfId="27" applyNumberFormat="1"/>
    <xf numFmtId="173" fontId="34" fillId="0" borderId="0" xfId="0" applyNumberFormat="1" applyFont="1"/>
    <xf numFmtId="172" fontId="28" fillId="6" borderId="5" xfId="27" applyNumberFormat="1"/>
    <xf numFmtId="2" fontId="28" fillId="8" borderId="8" xfId="44" applyNumberFormat="1" applyFont="1"/>
    <xf numFmtId="173" fontId="19" fillId="5" borderId="5" xfId="6" applyNumberFormat="1"/>
    <xf numFmtId="175" fontId="0" fillId="0" borderId="4" xfId="0" applyNumberFormat="1" applyBorder="1"/>
    <xf numFmtId="0" fontId="26" fillId="0" borderId="0" xfId="21" applyBorder="1"/>
    <xf numFmtId="0" fontId="0" fillId="0" borderId="0" xfId="0" applyNumberFormat="1"/>
    <xf numFmtId="0" fontId="37" fillId="0" borderId="0" xfId="21" applyFont="1" applyBorder="1"/>
    <xf numFmtId="0" fontId="10" fillId="0" borderId="0" xfId="41" applyFont="1"/>
    <xf numFmtId="0" fontId="26" fillId="0" borderId="7" xfId="21" applyAlignment="1"/>
    <xf numFmtId="2" fontId="38" fillId="0" borderId="0" xfId="0" applyNumberFormat="1" applyFont="1"/>
    <xf numFmtId="2" fontId="16" fillId="8" borderId="8" xfId="44" applyNumberFormat="1" applyFont="1"/>
    <xf numFmtId="172" fontId="16" fillId="0" borderId="0" xfId="45" applyNumberFormat="1" applyFont="1"/>
    <xf numFmtId="1" fontId="28" fillId="6" borderId="5" xfId="27" applyNumberFormat="1"/>
    <xf numFmtId="2" fontId="28" fillId="0" borderId="5" xfId="27" applyNumberFormat="1" applyFill="1"/>
    <xf numFmtId="9" fontId="28" fillId="0" borderId="5" xfId="27" applyNumberFormat="1" applyFill="1"/>
    <xf numFmtId="173" fontId="0" fillId="0" borderId="0" xfId="0" applyNumberFormat="1" applyBorder="1"/>
    <xf numFmtId="0" fontId="26" fillId="0" borderId="7" xfId="21" applyAlignment="1">
      <alignment horizontal="left"/>
    </xf>
    <xf numFmtId="0" fontId="25" fillId="0" borderId="6" xfId="20" applyAlignment="1">
      <alignment horizontal="left"/>
    </xf>
    <xf numFmtId="1" fontId="28" fillId="8" borderId="8" xfId="44" applyNumberFormat="1" applyFont="1"/>
    <xf numFmtId="9" fontId="28" fillId="8" borderId="8" xfId="45" applyFont="1" applyFill="1" applyBorder="1"/>
    <xf numFmtId="9" fontId="28" fillId="6" borderId="5" xfId="45" applyFont="1" applyFill="1" applyBorder="1"/>
    <xf numFmtId="0" fontId="26" fillId="0" borderId="0" xfId="21" applyBorder="1" applyAlignment="1">
      <alignment horizontal="left"/>
    </xf>
    <xf numFmtId="9" fontId="35" fillId="6" borderId="5" xfId="27" applyNumberFormat="1" applyFont="1"/>
    <xf numFmtId="2" fontId="35" fillId="6" borderId="5" xfId="27" applyNumberFormat="1" applyFont="1"/>
    <xf numFmtId="172" fontId="35" fillId="6" borderId="5" xfId="27" applyNumberFormat="1" applyFont="1"/>
    <xf numFmtId="173" fontId="28" fillId="0" borderId="5" xfId="27" applyNumberFormat="1" applyFill="1"/>
    <xf numFmtId="1" fontId="28" fillId="0" borderId="5" xfId="27" applyNumberFormat="1" applyFill="1"/>
    <xf numFmtId="0" fontId="0" fillId="0" borderId="0" xfId="0" applyFill="1"/>
    <xf numFmtId="9" fontId="35" fillId="6" borderId="5" xfId="45" applyFont="1" applyFill="1" applyBorder="1"/>
    <xf numFmtId="173" fontId="35" fillId="6" borderId="5" xfId="27" applyNumberFormat="1" applyFont="1"/>
    <xf numFmtId="2" fontId="41" fillId="0" borderId="5" xfId="27" applyNumberFormat="1" applyFont="1" applyFill="1"/>
    <xf numFmtId="1" fontId="34" fillId="0" borderId="0" xfId="0" applyNumberFormat="1" applyFont="1"/>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7" xfId="22" applyAlignment="1">
      <alignment horizontal="left"/>
    </xf>
    <xf numFmtId="0" fontId="26" fillId="0" borderId="7"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9" xfId="31" applyBorder="1"/>
    <xf numFmtId="173" fontId="16" fillId="0" borderId="4" xfId="31" applyNumberFormat="1" applyBorder="1"/>
    <xf numFmtId="2" fontId="28" fillId="11" borderId="5" xfId="28" applyNumberFormat="1" applyFill="1"/>
    <xf numFmtId="2" fontId="16" fillId="10" borderId="0" xfId="31" applyNumberFormat="1" applyFill="1"/>
    <xf numFmtId="2" fontId="16" fillId="10" borderId="4" xfId="31" applyNumberFormat="1" applyFill="1" applyBorder="1"/>
    <xf numFmtId="3" fontId="16" fillId="0" borderId="0" xfId="31" applyNumberFormat="1"/>
    <xf numFmtId="0" fontId="42" fillId="0" borderId="7" xfId="22" applyFont="1" applyAlignment="1">
      <alignment horizontal="left"/>
    </xf>
    <xf numFmtId="1" fontId="28" fillId="6" borderId="5" xfId="28" applyNumberFormat="1"/>
    <xf numFmtId="173" fontId="28" fillId="6" borderId="5" xfId="28" applyNumberFormat="1"/>
    <xf numFmtId="174" fontId="16" fillId="0" borderId="0" xfId="31" applyNumberFormat="1"/>
    <xf numFmtId="0" fontId="34" fillId="0" borderId="0" xfId="31" applyFont="1"/>
    <xf numFmtId="2" fontId="28" fillId="6" borderId="5" xfId="28" applyNumberFormat="1"/>
    <xf numFmtId="172" fontId="0" fillId="0" borderId="0" xfId="45" applyNumberFormat="1" applyFont="1"/>
    <xf numFmtId="0" fontId="43" fillId="4" borderId="0" xfId="3" applyFont="1"/>
    <xf numFmtId="0" fontId="38" fillId="0" borderId="0" xfId="0" applyFont="1" applyAlignment="1">
      <alignment horizontal="center"/>
    </xf>
    <xf numFmtId="9" fontId="28" fillId="6" borderId="10" xfId="27" applyNumberFormat="1" applyBorder="1"/>
    <xf numFmtId="175" fontId="16" fillId="8" borderId="8" xfId="44" applyNumberFormat="1" applyFont="1"/>
    <xf numFmtId="0" fontId="0" fillId="0" borderId="11" xfId="0" applyBorder="1"/>
    <xf numFmtId="0" fontId="0" fillId="0" borderId="12" xfId="0" applyFill="1"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Fill="1" applyBorder="1"/>
    <xf numFmtId="0" fontId="0" fillId="0" borderId="15" xfId="0" applyBorder="1"/>
    <xf numFmtId="0" fontId="0" fillId="0" borderId="16" xfId="0" applyBorder="1"/>
    <xf numFmtId="0" fontId="38" fillId="0" borderId="0" xfId="0" applyFont="1" applyBorder="1"/>
    <xf numFmtId="0" fontId="39" fillId="0" borderId="0" xfId="0" applyFont="1" applyBorder="1"/>
    <xf numFmtId="0" fontId="38" fillId="0" borderId="15" xfId="0" applyFont="1" applyBorder="1"/>
    <xf numFmtId="177" fontId="0" fillId="0" borderId="0" xfId="0" applyNumberFormat="1"/>
    <xf numFmtId="177" fontId="34"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8" fillId="0" borderId="15" xfId="0" applyNumberFormat="1" applyFont="1" applyBorder="1"/>
    <xf numFmtId="0" fontId="75" fillId="0" borderId="0" xfId="0" applyNumberFormat="1" applyFont="1" applyFill="1" applyBorder="1" applyAlignment="1" applyProtection="1"/>
    <xf numFmtId="0" fontId="0" fillId="0" borderId="0" xfId="0" applyAlignment="1">
      <alignment horizontal="right"/>
    </xf>
    <xf numFmtId="172" fontId="28" fillId="0" borderId="5" xfId="27" applyNumberFormat="1" applyFill="1"/>
    <xf numFmtId="10" fontId="28" fillId="0" borderId="5"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167" fontId="2" fillId="0" borderId="0" xfId="11" applyNumberFormat="1" applyFill="1" applyBorder="1"/>
    <xf numFmtId="2" fontId="0" fillId="0" borderId="15" xfId="0" applyNumberFormat="1" applyBorder="1"/>
    <xf numFmtId="0" fontId="26" fillId="0" borderId="43" xfId="21" applyBorder="1"/>
    <xf numFmtId="0" fontId="26" fillId="9" borderId="7" xfId="22" applyFill="1" applyAlignment="1">
      <alignment horizontal="left"/>
    </xf>
    <xf numFmtId="0" fontId="26" fillId="9" borderId="7" xfId="22" applyFill="1"/>
    <xf numFmtId="1" fontId="28" fillId="6" borderId="44" xfId="28" applyNumberFormat="1" applyBorder="1"/>
    <xf numFmtId="0" fontId="16" fillId="0" borderId="15" xfId="31" applyBorder="1"/>
    <xf numFmtId="0" fontId="26" fillId="0" borderId="43" xfId="22" applyBorder="1"/>
    <xf numFmtId="2" fontId="28" fillId="6" borderId="46" xfId="28" applyNumberFormat="1" applyBorder="1"/>
    <xf numFmtId="173" fontId="28" fillId="6" borderId="46" xfId="28" applyNumberFormat="1" applyBorder="1"/>
    <xf numFmtId="0" fontId="34" fillId="0" borderId="15" xfId="31" applyFont="1" applyBorder="1"/>
    <xf numFmtId="0" fontId="152" fillId="0" borderId="7" xfId="22" applyFont="1"/>
    <xf numFmtId="176" fontId="16" fillId="0" borderId="0" xfId="3924" applyNumberFormat="1" applyBorder="1"/>
    <xf numFmtId="0" fontId="26" fillId="0" borderId="15" xfId="22" applyBorder="1"/>
    <xf numFmtId="0" fontId="26" fillId="0" borderId="0" xfId="22" applyBorder="1"/>
    <xf numFmtId="0" fontId="153" fillId="0" borderId="7" xfId="22" applyFont="1"/>
    <xf numFmtId="0" fontId="153" fillId="0" borderId="0" xfId="22" applyFont="1" applyBorder="1" applyAlignment="1">
      <alignment horizontal="left"/>
    </xf>
    <xf numFmtId="173" fontId="34" fillId="0" borderId="32" xfId="31" applyNumberFormat="1" applyFont="1" applyBorder="1"/>
    <xf numFmtId="0" fontId="154" fillId="0" borderId="0" xfId="33" applyFont="1"/>
    <xf numFmtId="0" fontId="16" fillId="0" borderId="3" xfId="31" applyBorder="1"/>
    <xf numFmtId="2" fontId="16" fillId="0" borderId="15" xfId="31" applyNumberFormat="1" applyBorder="1"/>
    <xf numFmtId="0" fontId="153" fillId="0" borderId="7" xfId="22" applyFont="1" applyAlignment="1">
      <alignment horizontal="left"/>
    </xf>
    <xf numFmtId="1" fontId="34" fillId="0" borderId="0" xfId="31" applyNumberFormat="1" applyFont="1"/>
    <xf numFmtId="1" fontId="41" fillId="6" borderId="5" xfId="28" applyNumberFormat="1" applyFont="1"/>
    <xf numFmtId="1" fontId="41" fillId="6" borderId="44" xfId="28" applyNumberFormat="1" applyFont="1" applyBorder="1"/>
    <xf numFmtId="0" fontId="16" fillId="0" borderId="47" xfId="31" applyBorder="1"/>
    <xf numFmtId="1" fontId="16" fillId="0" borderId="15" xfId="31" applyNumberFormat="1" applyBorder="1"/>
    <xf numFmtId="0" fontId="16" fillId="0" borderId="45" xfId="31" applyBorder="1"/>
    <xf numFmtId="1" fontId="34" fillId="75" borderId="0" xfId="31" applyNumberFormat="1" applyFont="1" applyFill="1"/>
    <xf numFmtId="174" fontId="16" fillId="8" borderId="8" xfId="44" applyNumberFormat="1" applyFont="1"/>
    <xf numFmtId="9" fontId="16" fillId="0" borderId="0" xfId="45" applyFill="1" applyBorder="1"/>
    <xf numFmtId="9" fontId="16" fillId="0" borderId="15" xfId="45" applyFill="1" applyBorder="1"/>
    <xf numFmtId="0" fontId="0" fillId="10" borderId="0" xfId="31" applyFont="1" applyFill="1"/>
    <xf numFmtId="9" fontId="16" fillId="10" borderId="0" xfId="31" applyNumberFormat="1" applyFill="1"/>
    <xf numFmtId="0" fontId="0" fillId="0" borderId="0" xfId="0" applyFont="1" applyFill="1" applyAlignment="1">
      <alignment horizontal="center"/>
    </xf>
    <xf numFmtId="2" fontId="160" fillId="6" borderId="5" xfId="27" applyNumberFormat="1" applyFont="1"/>
    <xf numFmtId="9" fontId="0" fillId="10" borderId="0" xfId="0" applyNumberFormat="1" applyFill="1"/>
    <xf numFmtId="0" fontId="40" fillId="76" borderId="5" xfId="30" applyFont="1" applyFill="1" applyBorder="1" applyAlignment="1">
      <alignment horizontal="center"/>
    </xf>
    <xf numFmtId="172" fontId="0" fillId="10" borderId="0" xfId="45" applyNumberFormat="1" applyFont="1" applyFill="1"/>
    <xf numFmtId="9" fontId="0" fillId="10" borderId="0" xfId="45" applyFont="1" applyFill="1"/>
    <xf numFmtId="0" fontId="0" fillId="0" borderId="0" xfId="0"/>
    <xf numFmtId="2" fontId="0" fillId="0" borderId="0" xfId="0" applyNumberFormat="1"/>
    <xf numFmtId="0" fontId="0" fillId="0" borderId="0" xfId="0" applyBorder="1"/>
    <xf numFmtId="0" fontId="0" fillId="0" borderId="0" xfId="0" applyFill="1" applyBorder="1"/>
    <xf numFmtId="0" fontId="34" fillId="0" borderId="3" xfId="0" applyFont="1" applyBorder="1"/>
    <xf numFmtId="9" fontId="0" fillId="0" borderId="0" xfId="45" applyFont="1"/>
    <xf numFmtId="0" fontId="0" fillId="0" borderId="12" xfId="0" applyBorder="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5" xfId="30" applyFont="1" applyFill="1" applyBorder="1" applyAlignment="1">
      <alignment horizontal="center"/>
    </xf>
    <xf numFmtId="0" fontId="162" fillId="7" borderId="5" xfId="30" applyFont="1" applyBorder="1" applyAlignment="1">
      <alignment horizontal="center"/>
    </xf>
    <xf numFmtId="0" fontId="0" fillId="0" borderId="0" xfId="0" quotePrefix="1" applyAlignment="1">
      <alignment wrapText="1"/>
    </xf>
    <xf numFmtId="0" fontId="0" fillId="0" borderId="0" xfId="0" quotePrefix="1" applyFont="1" applyFill="1" applyAlignment="1">
      <alignment horizontal="center"/>
    </xf>
    <xf numFmtId="9" fontId="16" fillId="10" borderId="0" xfId="45" applyFill="1" applyBorder="1"/>
    <xf numFmtId="173" fontId="28"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177" fontId="0" fillId="0" borderId="0" xfId="0" applyNumberFormat="1" applyFill="1"/>
    <xf numFmtId="174" fontId="0" fillId="0" borderId="0" xfId="0" applyNumberFormat="1" applyFill="1"/>
    <xf numFmtId="173" fontId="0" fillId="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5" fillId="0" borderId="0" xfId="0" applyFont="1"/>
    <xf numFmtId="2" fontId="35" fillId="0" borderId="0" xfId="0" applyNumberFormat="1" applyFont="1"/>
    <xf numFmtId="22" fontId="0" fillId="0" borderId="0" xfId="0" applyNumberFormat="1"/>
    <xf numFmtId="2" fontId="16" fillId="80" borderId="0" xfId="31" applyNumberFormat="1" applyFill="1"/>
    <xf numFmtId="173" fontId="19" fillId="80" borderId="5" xfId="6" applyNumberFormat="1" applyFill="1"/>
    <xf numFmtId="173" fontId="16" fillId="80" borderId="4" xfId="31" applyNumberFormat="1" applyFill="1" applyBorder="1"/>
    <xf numFmtId="2" fontId="35" fillId="0" borderId="0" xfId="31" applyNumberFormat="1" applyFont="1"/>
    <xf numFmtId="0" fontId="35" fillId="10" borderId="0" xfId="31" applyFont="1" applyFill="1"/>
    <xf numFmtId="0" fontId="35" fillId="10" borderId="9"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0" fontId="26" fillId="0" borderId="7" xfId="21" applyAlignment="1">
      <alignment horizontal="left"/>
    </xf>
    <xf numFmtId="0" fontId="2" fillId="0" borderId="0" xfId="0" applyFont="1" applyAlignment="1">
      <alignment horizontal="left"/>
    </xf>
    <xf numFmtId="2" fontId="16" fillId="0" borderId="0" xfId="45" applyNumberFormat="1"/>
    <xf numFmtId="9" fontId="16" fillId="8" borderId="8" xfId="44" applyNumberFormat="1"/>
    <xf numFmtId="9" fontId="28" fillId="0" borderId="5" xfId="45" applyFont="1" applyBorder="1"/>
    <xf numFmtId="9" fontId="16" fillId="0" borderId="0" xfId="45"/>
    <xf numFmtId="173" fontId="16" fillId="0" borderId="0" xfId="45" applyNumberFormat="1"/>
    <xf numFmtId="1" fontId="16" fillId="0" borderId="8" xfId="44" applyNumberFormat="1" applyFill="1"/>
    <xf numFmtId="2" fontId="16" fillId="8" borderId="8" xfId="44" applyNumberFormat="1"/>
    <xf numFmtId="2" fontId="0" fillId="0" borderId="0" xfId="45" applyNumberFormat="1" applyFont="1"/>
    <xf numFmtId="0" fontId="0" fillId="0" borderId="14" xfId="0" applyBorder="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72" fontId="28" fillId="0" borderId="5" xfId="45" applyNumberFormat="1" applyFont="1" applyBorder="1"/>
    <xf numFmtId="0" fontId="16" fillId="8" borderId="8" xfId="44"/>
    <xf numFmtId="0" fontId="16" fillId="0" borderId="4" xfId="45" applyNumberFormat="1" applyBorder="1"/>
    <xf numFmtId="1" fontId="28" fillId="0" borderId="5"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0" fontId="26" fillId="0" borderId="7" xfId="21" applyAlignment="1">
      <alignment horizontal="left"/>
    </xf>
    <xf numFmtId="167" fontId="28" fillId="6" borderId="5" xfId="3924" applyFont="1" applyFill="1" applyBorder="1"/>
    <xf numFmtId="10" fontId="0" fillId="10" borderId="0" xfId="0" applyNumberFormat="1" applyFill="1"/>
    <xf numFmtId="172" fontId="35" fillId="6" borderId="5" xfId="45" applyNumberFormat="1" applyFont="1" applyFill="1" applyBorder="1"/>
    <xf numFmtId="9" fontId="16" fillId="8" borderId="8" xfId="45" applyFill="1" applyBorder="1"/>
    <xf numFmtId="9" fontId="19" fillId="5" borderId="5" xfId="45" applyFont="1" applyFill="1" applyBorder="1" applyAlignment="1">
      <alignment horizontal="center"/>
    </xf>
    <xf numFmtId="0" fontId="26" fillId="0" borderId="7" xfId="21" applyAlignment="1">
      <alignment horizontal="center"/>
    </xf>
    <xf numFmtId="9" fontId="0" fillId="10" borderId="0" xfId="45" applyNumberFormat="1" applyFont="1" applyFill="1"/>
    <xf numFmtId="10" fontId="35" fillId="6" borderId="5" xfId="27" applyNumberFormat="1" applyFont="1"/>
    <xf numFmtId="0" fontId="34" fillId="0" borderId="0" xfId="0" applyFont="1" applyAlignment="1">
      <alignment horizontal="center"/>
    </xf>
    <xf numFmtId="173" fontId="34" fillId="0" borderId="0" xfId="0" applyNumberFormat="1" applyFont="1" applyAlignment="1">
      <alignment horizontal="center"/>
    </xf>
    <xf numFmtId="173" fontId="168" fillId="0" borderId="0" xfId="0" applyNumberFormat="1" applyFont="1"/>
    <xf numFmtId="0" fontId="156" fillId="0" borderId="0" xfId="4430"/>
    <xf numFmtId="0" fontId="2" fillId="0" borderId="0" xfId="31" applyFont="1" applyAlignment="1">
      <alignment horizontal="left"/>
    </xf>
    <xf numFmtId="0" fontId="16" fillId="10" borderId="4" xfId="31" applyFill="1" applyBorder="1"/>
    <xf numFmtId="9" fontId="16" fillId="9" borderId="0" xfId="31" applyNumberFormat="1" applyFill="1"/>
    <xf numFmtId="0" fontId="155" fillId="0" borderId="3" xfId="31" applyFont="1" applyBorder="1" applyAlignment="1">
      <alignment horizontal="left"/>
    </xf>
    <xf numFmtId="0" fontId="90" fillId="0" borderId="0" xfId="31" applyFont="1" applyAlignment="1">
      <alignment horizontal="left"/>
    </xf>
    <xf numFmtId="0" fontId="155" fillId="0" borderId="0" xfId="31" applyFont="1" applyAlignment="1">
      <alignment horizontal="left"/>
    </xf>
    <xf numFmtId="0" fontId="34" fillId="10" borderId="0" xfId="31" applyFont="1" applyFill="1"/>
    <xf numFmtId="0" fontId="34" fillId="0" borderId="32" xfId="31" applyFont="1" applyBorder="1"/>
    <xf numFmtId="0" fontId="16" fillId="0" borderId="32" xfId="31" applyBorder="1"/>
    <xf numFmtId="174" fontId="16" fillId="0" borderId="32" xfId="31" applyNumberFormat="1" applyBorder="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9" fontId="35" fillId="8" borderId="8" xfId="44" applyNumberFormat="1" applyFont="1"/>
    <xf numFmtId="0" fontId="0" fillId="0" borderId="0" xfId="0"/>
    <xf numFmtId="0" fontId="26" fillId="0" borderId="7" xfId="21" applyAlignment="1">
      <alignment horizontal="left"/>
    </xf>
    <xf numFmtId="0" fontId="0" fillId="0" borderId="0" xfId="0"/>
    <xf numFmtId="188" fontId="160" fillId="0" borderId="59" xfId="2765" applyNumberFormat="1" applyFont="1" applyBorder="1" applyAlignment="1">
      <alignment vertical="center" wrapText="1"/>
    </xf>
    <xf numFmtId="174" fontId="160" fillId="0" borderId="0" xfId="0" applyNumberFormat="1" applyFont="1"/>
    <xf numFmtId="2" fontId="160" fillId="0" borderId="0" xfId="0" applyNumberFormat="1" applyFont="1"/>
    <xf numFmtId="0" fontId="0" fillId="0" borderId="0" xfId="0"/>
    <xf numFmtId="0" fontId="0" fillId="10" borderId="0" xfId="0" applyFill="1" applyAlignment="1"/>
    <xf numFmtId="2" fontId="0" fillId="10" borderId="0" xfId="0" applyNumberFormat="1" applyFill="1"/>
    <xf numFmtId="0" fontId="36" fillId="0" borderId="0" xfId="0" applyFont="1" applyFill="1" applyBorder="1"/>
    <xf numFmtId="9" fontId="28" fillId="38" borderId="5" xfId="27" applyNumberFormat="1" applyFill="1"/>
    <xf numFmtId="9" fontId="28" fillId="38" borderId="5" xfId="45" applyFont="1" applyFill="1" applyBorder="1"/>
    <xf numFmtId="2" fontId="0" fillId="38" borderId="0" xfId="0" applyNumberFormat="1" applyFill="1"/>
    <xf numFmtId="172" fontId="16" fillId="8" borderId="8" xfId="44" applyNumberFormat="1"/>
    <xf numFmtId="10" fontId="28" fillId="0" borderId="5" xfId="45" applyNumberFormat="1" applyFont="1" applyBorder="1"/>
    <xf numFmtId="10" fontId="28" fillId="38" borderId="5" xfId="45" applyNumberFormat="1" applyFont="1" applyFill="1" applyBorder="1"/>
    <xf numFmtId="172" fontId="28" fillId="38" borderId="5" xfId="45" applyNumberFormat="1" applyFont="1" applyFill="1" applyBorder="1"/>
    <xf numFmtId="1" fontId="155" fillId="0" borderId="0" xfId="11" applyNumberFormat="1" applyFont="1"/>
    <xf numFmtId="1" fontId="26" fillId="0" borderId="7" xfId="21" applyNumberFormat="1" applyAlignment="1">
      <alignment horizontal="left"/>
    </xf>
    <xf numFmtId="173" fontId="16" fillId="8" borderId="8" xfId="44" applyNumberFormat="1"/>
    <xf numFmtId="2" fontId="168" fillId="0" borderId="0" xfId="0" applyNumberFormat="1" applyFont="1"/>
    <xf numFmtId="0" fontId="168" fillId="10" borderId="0" xfId="0" applyFont="1" applyFill="1" applyAlignment="1">
      <alignment horizontal="center"/>
    </xf>
    <xf numFmtId="2" fontId="168" fillId="10" borderId="0" xfId="45" applyNumberFormat="1" applyFont="1" applyFill="1" applyAlignment="1">
      <alignment horizontal="center"/>
    </xf>
    <xf numFmtId="0" fontId="169" fillId="0" borderId="0" xfId="0" applyFont="1"/>
    <xf numFmtId="2" fontId="0" fillId="9" borderId="0" xfId="0" applyNumberFormat="1" applyFill="1"/>
    <xf numFmtId="173" fontId="16" fillId="9" borderId="0" xfId="45" applyNumberFormat="1" applyFill="1"/>
    <xf numFmtId="2" fontId="0" fillId="0" borderId="0" xfId="0" applyNumberFormat="1" applyFill="1"/>
    <xf numFmtId="173" fontId="0" fillId="9" borderId="0" xfId="0" applyNumberFormat="1" applyFill="1"/>
    <xf numFmtId="172" fontId="16"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4" fillId="38" borderId="0" xfId="0" applyNumberFormat="1" applyFont="1" applyFill="1"/>
    <xf numFmtId="0" fontId="26" fillId="0" borderId="7" xfId="21" applyAlignment="1">
      <alignment horizontal="left"/>
    </xf>
    <xf numFmtId="0" fontId="0" fillId="0" borderId="0" xfId="0"/>
    <xf numFmtId="0" fontId="38" fillId="0" borderId="0" xfId="41" applyFont="1"/>
    <xf numFmtId="0" fontId="0" fillId="81" borderId="0" xfId="0" applyFill="1"/>
    <xf numFmtId="2" fontId="0" fillId="81" borderId="0" xfId="0" applyNumberFormat="1" applyFill="1"/>
    <xf numFmtId="174" fontId="0" fillId="81" borderId="0" xfId="0" applyNumberFormat="1" applyFill="1"/>
    <xf numFmtId="0" fontId="38" fillId="81" borderId="0" xfId="0" applyFont="1" applyFill="1" applyAlignment="1">
      <alignment horizontal="center"/>
    </xf>
    <xf numFmtId="0" fontId="38" fillId="81" borderId="0" xfId="0" applyFont="1" applyFill="1"/>
    <xf numFmtId="0" fontId="35" fillId="81" borderId="0" xfId="0" applyFont="1" applyFill="1"/>
    <xf numFmtId="9" fontId="16" fillId="0" borderId="4" xfId="45" applyFont="1" applyBorder="1"/>
    <xf numFmtId="0" fontId="0" fillId="0" borderId="0" xfId="0"/>
    <xf numFmtId="0" fontId="26" fillId="0" borderId="7" xfId="21" applyAlignment="1">
      <alignment horizontal="left"/>
    </xf>
    <xf numFmtId="0" fontId="2" fillId="0" borderId="0" xfId="31" applyFont="1" applyAlignment="1">
      <alignment horizontal="left"/>
    </xf>
    <xf numFmtId="0" fontId="0" fillId="0" borderId="0" xfId="0"/>
    <xf numFmtId="0" fontId="0" fillId="0" borderId="4" xfId="0" applyFill="1" applyBorder="1"/>
    <xf numFmtId="172" fontId="28" fillId="8" borderId="8" xfId="45" applyNumberFormat="1" applyFont="1" applyFill="1" applyBorder="1"/>
    <xf numFmtId="172" fontId="35" fillId="0" borderId="5" xfId="45" applyNumberFormat="1" applyFont="1" applyBorder="1"/>
    <xf numFmtId="173" fontId="28" fillId="6" borderId="5" xfId="27" applyNumberFormat="1"/>
    <xf numFmtId="173" fontId="35" fillId="0" borderId="5" xfId="27" applyNumberFormat="1" applyFont="1" applyFill="1"/>
    <xf numFmtId="2" fontId="19" fillId="5" borderId="5" xfId="6" applyNumberFormat="1"/>
  </cellXfs>
  <cellStyles count="4431">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styles" Target="styles.xml"/><Relationship Id="rId8" Type="http://schemas.openxmlformats.org/officeDocument/2006/relationships/worksheet" Target="worksheets/sheet8.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2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26.164390783448656</c:v>
                </c:pt>
                <c:pt idx="1">
                  <c:v>28.111589337230718</c:v>
                </c:pt>
                <c:pt idx="2">
                  <c:v>27.84457886154026</c:v>
                </c:pt>
                <c:pt idx="3">
                  <c:v>23.986195872849844</c:v>
                </c:pt>
                <c:pt idx="4" formatCode="0.000">
                  <c:v>19.593316062021987</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15.698634470069196</c:v>
                </c:pt>
                <c:pt idx="1">
                  <c:v>19.201285369797056</c:v>
                </c:pt>
                <c:pt idx="2">
                  <c:v>21.41729290657965</c:v>
                </c:pt>
                <c:pt idx="3">
                  <c:v>24.674136706158219</c:v>
                </c:pt>
                <c:pt idx="4" formatCode="0.000">
                  <c:v>27.322481569655267</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10.46240762855223</c:v>
                </c:pt>
                <c:pt idx="1">
                  <c:v>11.995815292972233</c:v>
                </c:pt>
                <c:pt idx="2">
                  <c:v>16.694218231880097</c:v>
                </c:pt>
                <c:pt idx="3">
                  <c:v>22.714973420991928</c:v>
                </c:pt>
                <c:pt idx="4" formatCode="0.000">
                  <c:v>28.602111368322735</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0-58F7-427C-8CEB-72FE487C2F5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26.164390783448656</c:v>
                </c:pt>
                <c:pt idx="1">
                  <c:v>28.111589337230718</c:v>
                </c:pt>
                <c:pt idx="2">
                  <c:v>27.84457886154026</c:v>
                </c:pt>
                <c:pt idx="3">
                  <c:v>23.986195872849844</c:v>
                </c:pt>
                <c:pt idx="4">
                  <c:v>19.593316062021987</c:v>
                </c:pt>
              </c:numCache>
            </c:numRef>
          </c:val>
          <c:extLst>
            <c:ext xmlns:c16="http://schemas.microsoft.com/office/drawing/2014/chart" uri="{C3380CC4-5D6E-409C-BE32-E72D297353CC}">
              <c16:uniqueId val="{00000001-58F7-427C-8CEB-72FE487C2F5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2-58F7-427C-8CEB-72FE487C2F5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15.698634470069196</c:v>
                </c:pt>
                <c:pt idx="1">
                  <c:v>19.201285369797056</c:v>
                </c:pt>
                <c:pt idx="2">
                  <c:v>21.41729290657965</c:v>
                </c:pt>
                <c:pt idx="3">
                  <c:v>24.674136706158219</c:v>
                </c:pt>
                <c:pt idx="4">
                  <c:v>27.322481569655267</c:v>
                </c:pt>
              </c:numCache>
            </c:numRef>
          </c:val>
          <c:extLst>
            <c:ext xmlns:c16="http://schemas.microsoft.com/office/drawing/2014/chart" uri="{C3380CC4-5D6E-409C-BE32-E72D297353CC}">
              <c16:uniqueId val="{00000003-58F7-427C-8CEB-72FE487C2F5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10.46240762855223</c:v>
                </c:pt>
                <c:pt idx="1">
                  <c:v>11.995815292972233</c:v>
                </c:pt>
                <c:pt idx="2">
                  <c:v>16.694218231880097</c:v>
                </c:pt>
                <c:pt idx="3">
                  <c:v>22.714973420991928</c:v>
                </c:pt>
                <c:pt idx="4">
                  <c:v>28.602111368322735</c:v>
                </c:pt>
              </c:numCache>
            </c:numRef>
          </c:val>
          <c:extLst>
            <c:ext xmlns:c16="http://schemas.microsoft.com/office/drawing/2014/chart" uri="{C3380CC4-5D6E-409C-BE32-E72D297353CC}">
              <c16:uniqueId val="{00000004-58F7-427C-8CEB-72FE487C2F5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RES!$J$99:$AP$99</c:f>
              <c:numCache>
                <c:formatCode>0.000</c:formatCode>
                <c:ptCount val="33"/>
                <c:pt idx="0">
                  <c:v>10.675790841703828</c:v>
                </c:pt>
                <c:pt idx="1">
                  <c:v>12.639010653235388</c:v>
                </c:pt>
                <c:pt idx="2">
                  <c:v>14.602230464766947</c:v>
                </c:pt>
                <c:pt idx="3">
                  <c:v>16.565450276298506</c:v>
                </c:pt>
                <c:pt idx="4">
                  <c:v>18.528670087830069</c:v>
                </c:pt>
                <c:pt idx="5">
                  <c:v>20.491889899361627</c:v>
                </c:pt>
                <c:pt idx="6">
                  <c:v>20.526407826903512</c:v>
                </c:pt>
                <c:pt idx="7">
                  <c:v>20.748275785921976</c:v>
                </c:pt>
                <c:pt idx="8">
                  <c:v>21.673678197395017</c:v>
                </c:pt>
                <c:pt idx="9">
                  <c:v>22.572401636983386</c:v>
                </c:pt>
                <c:pt idx="10">
                  <c:v>22.53215283056171</c:v>
                </c:pt>
                <c:pt idx="11">
                  <c:v>22.492971434020053</c:v>
                </c:pt>
                <c:pt idx="12">
                  <c:v>22.44829068508071</c:v>
                </c:pt>
                <c:pt idx="13">
                  <c:v>22.421454898087802</c:v>
                </c:pt>
                <c:pt idx="14">
                  <c:v>22.272843079107666</c:v>
                </c:pt>
                <c:pt idx="15">
                  <c:v>22.091820355504218</c:v>
                </c:pt>
                <c:pt idx="16">
                  <c:v>21.905952773804316</c:v>
                </c:pt>
                <c:pt idx="17">
                  <c:v>21.679367084007598</c:v>
                </c:pt>
                <c:pt idx="18">
                  <c:v>21.46781651323246</c:v>
                </c:pt>
                <c:pt idx="19">
                  <c:v>21.20900964133406</c:v>
                </c:pt>
                <c:pt idx="20">
                  <c:v>20.959037338818071</c:v>
                </c:pt>
                <c:pt idx="21">
                  <c:v>20.700849681544451</c:v>
                </c:pt>
                <c:pt idx="22">
                  <c:v>20.407130454968872</c:v>
                </c:pt>
                <c:pt idx="23">
                  <c:v>20.088475385442667</c:v>
                </c:pt>
                <c:pt idx="24">
                  <c:v>19.746209220882047</c:v>
                </c:pt>
                <c:pt idx="25">
                  <c:v>19.418744964633053</c:v>
                </c:pt>
                <c:pt idx="26">
                  <c:v>19.104913601777074</c:v>
                </c:pt>
                <c:pt idx="27">
                  <c:v>18.800880074411442</c:v>
                </c:pt>
                <c:pt idx="28">
                  <c:v>18.493052252983873</c:v>
                </c:pt>
                <c:pt idx="29">
                  <c:v>16.798412916108497</c:v>
                </c:pt>
                <c:pt idx="30">
                  <c:v>15.10619773410324</c:v>
                </c:pt>
                <c:pt idx="31">
                  <c:v>15.10619773410324</c:v>
                </c:pt>
                <c:pt idx="32">
                  <c:v>15.10619773410324</c:v>
                </c:pt>
              </c:numCache>
            </c:numRef>
          </c:val>
          <c:smooth val="0"/>
          <c:extLst>
            <c:ext xmlns:c16="http://schemas.microsoft.com/office/drawing/2014/chart" uri="{C3380CC4-5D6E-409C-BE32-E72D297353CC}">
              <c16:uniqueId val="{00000000-E241-4F06-B277-7B04E0A01E55}"/>
            </c:ext>
          </c:extLst>
        </c:ser>
        <c:ser>
          <c:idx val="1"/>
          <c:order val="1"/>
          <c:spPr>
            <a:ln w="28575" cap="rnd">
              <a:solidFill>
                <a:schemeClr val="accent2"/>
              </a:solidFill>
              <a:round/>
            </a:ln>
            <a:effectLst/>
          </c:spPr>
          <c:marker>
            <c:symbol val="none"/>
          </c:marker>
          <c:val>
            <c:numRef>
              <c:f>RES!$J$100:$AP$100</c:f>
              <c:numCache>
                <c:formatCode>0.000</c:formatCode>
                <c:ptCount val="33"/>
                <c:pt idx="0" formatCode="0.00">
                  <c:v>4.742986727829742E-2</c:v>
                </c:pt>
                <c:pt idx="1">
                  <c:v>4.5818274562462187E-2</c:v>
                </c:pt>
                <c:pt idx="2">
                  <c:v>4.4206681846626947E-2</c:v>
                </c:pt>
                <c:pt idx="3">
                  <c:v>4.2595089130791713E-2</c:v>
                </c:pt>
                <c:pt idx="4">
                  <c:v>4.0983496414956473E-2</c:v>
                </c:pt>
                <c:pt idx="5">
                  <c:v>3.937190369912124E-2</c:v>
                </c:pt>
                <c:pt idx="6">
                  <c:v>3.9438224400908474E-2</c:v>
                </c:pt>
                <c:pt idx="7">
                  <c:v>3.9864508358088413E-2</c:v>
                </c:pt>
                <c:pt idx="8">
                  <c:v>4.1642521748087455E-2</c:v>
                </c:pt>
                <c:pt idx="9">
                  <c:v>4.3369275741466984E-2</c:v>
                </c:pt>
                <c:pt idx="10">
                  <c:v>4.3291944068389425E-2</c:v>
                </c:pt>
                <c:pt idx="11">
                  <c:v>4.3216663253442082E-2</c:v>
                </c:pt>
                <c:pt idx="12">
                  <c:v>4.3130816308475865E-2</c:v>
                </c:pt>
                <c:pt idx="13">
                  <c:v>4.3079255616594155E-2</c:v>
                </c:pt>
                <c:pt idx="14">
                  <c:v>4.2793721668570185E-2</c:v>
                </c:pt>
                <c:pt idx="15">
                  <c:v>4.2445915327814394E-2</c:v>
                </c:pt>
                <c:pt idx="16">
                  <c:v>4.2088800363630191E-2</c:v>
                </c:pt>
                <c:pt idx="17">
                  <c:v>4.1653452037922409E-2</c:v>
                </c:pt>
                <c:pt idx="18">
                  <c:v>4.124699129950548E-2</c:v>
                </c:pt>
                <c:pt idx="19">
                  <c:v>4.0749735102683336E-2</c:v>
                </c:pt>
                <c:pt idx="20">
                  <c:v>4.0269453124279105E-2</c:v>
                </c:pt>
                <c:pt idx="21">
                  <c:v>3.9773386649766408E-2</c:v>
                </c:pt>
                <c:pt idx="22">
                  <c:v>3.9209051922217714E-2</c:v>
                </c:pt>
                <c:pt idx="23">
                  <c:v>3.8596806942753262E-2</c:v>
                </c:pt>
                <c:pt idx="24">
                  <c:v>3.7939197003566141E-2</c:v>
                </c:pt>
                <c:pt idx="25">
                  <c:v>3.731002657442279E-2</c:v>
                </c:pt>
                <c:pt idx="26">
                  <c:v>3.6707049579288997E-2</c:v>
                </c:pt>
                <c:pt idx="27">
                  <c:v>3.6122897565027165E-2</c:v>
                </c:pt>
                <c:pt idx="28">
                  <c:v>3.553145541885723E-2</c:v>
                </c:pt>
                <c:pt idx="29">
                  <c:v>3.2275475755493992E-2</c:v>
                </c:pt>
                <c:pt idx="30">
                  <c:v>2.9024153719736937E-2</c:v>
                </c:pt>
                <c:pt idx="31">
                  <c:v>2.9024153719736937E-2</c:v>
                </c:pt>
                <c:pt idx="32">
                  <c:v>2.9024153719736937E-2</c:v>
                </c:pt>
              </c:numCache>
            </c:numRef>
          </c:val>
          <c:smooth val="0"/>
          <c:extLst>
            <c:ext xmlns:c16="http://schemas.microsoft.com/office/drawing/2014/chart" uri="{C3380CC4-5D6E-409C-BE32-E72D297353CC}">
              <c16:uniqueId val="{00000001-E241-4F06-B277-7B04E0A01E55}"/>
            </c:ext>
          </c:extLst>
        </c:ser>
        <c:ser>
          <c:idx val="2"/>
          <c:order val="2"/>
          <c:spPr>
            <a:ln w="28575" cap="rnd">
              <a:solidFill>
                <a:schemeClr val="accent3"/>
              </a:solidFill>
              <a:round/>
            </a:ln>
            <a:effectLst/>
          </c:spPr>
          <c:marker>
            <c:symbol val="none"/>
          </c:marker>
          <c:val>
            <c:numRef>
              <c:f>RES!$J$101:$AP$101</c:f>
              <c:numCache>
                <c:formatCode>0.000</c:formatCode>
                <c:ptCount val="33"/>
                <c:pt idx="0" formatCode="0.00">
                  <c:v>10.057098199765919</c:v>
                </c:pt>
                <c:pt idx="1">
                  <c:v>10.651583309100051</c:v>
                </c:pt>
                <c:pt idx="2">
                  <c:v>11.246068418434183</c:v>
                </c:pt>
                <c:pt idx="3">
                  <c:v>11.840553527768316</c:v>
                </c:pt>
                <c:pt idx="4">
                  <c:v>12.435038637102448</c:v>
                </c:pt>
                <c:pt idx="5">
                  <c:v>13.029523746436579</c:v>
                </c:pt>
                <c:pt idx="6">
                  <c:v>13.051471558902563</c:v>
                </c:pt>
                <c:pt idx="7">
                  <c:v>13.192543653999781</c:v>
                </c:pt>
                <c:pt idx="8">
                  <c:v>13.780949738285511</c:v>
                </c:pt>
                <c:pt idx="9">
                  <c:v>14.352392316549636</c:v>
                </c:pt>
                <c:pt idx="10">
                  <c:v>14.326800593111123</c:v>
                </c:pt>
                <c:pt idx="11">
                  <c:v>14.301887569511774</c:v>
                </c:pt>
                <c:pt idx="12">
                  <c:v>14.27347784829168</c:v>
                </c:pt>
                <c:pt idx="13">
                  <c:v>14.25641463325414</c:v>
                </c:pt>
                <c:pt idx="14">
                  <c:v>14.161921580933809</c:v>
                </c:pt>
                <c:pt idx="15">
                  <c:v>14.046820441535768</c:v>
                </c:pt>
                <c:pt idx="16">
                  <c:v>13.92863875691101</c:v>
                </c:pt>
                <c:pt idx="17">
                  <c:v>13.784566948975861</c:v>
                </c:pt>
                <c:pt idx="18">
                  <c:v>13.650055042117883</c:v>
                </c:pt>
                <c:pt idx="19">
                  <c:v>13.485495779907215</c:v>
                </c:pt>
                <c:pt idx="20">
                  <c:v>13.3265538732515</c:v>
                </c:pt>
                <c:pt idx="21">
                  <c:v>13.162388331273439</c:v>
                </c:pt>
                <c:pt idx="22">
                  <c:v>12.975630464807901</c:v>
                </c:pt>
                <c:pt idx="23">
                  <c:v>12.773017440059832</c:v>
                </c:pt>
                <c:pt idx="24">
                  <c:v>12.555391582188943</c:v>
                </c:pt>
                <c:pt idx="25">
                  <c:v>12.347177341147253</c:v>
                </c:pt>
                <c:pt idx="26">
                  <c:v>12.147631412743845</c:v>
                </c:pt>
                <c:pt idx="27">
                  <c:v>11.954315321159399</c:v>
                </c:pt>
                <c:pt idx="28">
                  <c:v>11.758586672957493</c:v>
                </c:pt>
                <c:pt idx="29">
                  <c:v>10.681070465818829</c:v>
                </c:pt>
                <c:pt idx="30">
                  <c:v>9.6050956286367857</c:v>
                </c:pt>
                <c:pt idx="31">
                  <c:v>9.6050956286367857</c:v>
                </c:pt>
                <c:pt idx="32">
                  <c:v>9.6050956286367857</c:v>
                </c:pt>
              </c:numCache>
            </c:numRef>
          </c:val>
          <c:smooth val="0"/>
          <c:extLst>
            <c:ext xmlns:c16="http://schemas.microsoft.com/office/drawing/2014/chart" uri="{C3380CC4-5D6E-409C-BE32-E72D297353CC}">
              <c16:uniqueId val="{00000002-E241-4F06-B277-7B04E0A01E55}"/>
            </c:ext>
          </c:extLst>
        </c:ser>
        <c:ser>
          <c:idx val="3"/>
          <c:order val="3"/>
          <c:spPr>
            <a:ln w="28575" cap="rnd">
              <a:solidFill>
                <a:schemeClr val="accent4"/>
              </a:solidFill>
              <a:round/>
            </a:ln>
            <a:effectLst/>
          </c:spPr>
          <c:marker>
            <c:symbol val="none"/>
          </c:marker>
          <c:val>
            <c:numRef>
              <c:f>RES!$J$102:$AP$102</c:f>
              <c:numCache>
                <c:formatCode>0.000</c:formatCode>
                <c:ptCount val="33"/>
                <c:pt idx="0" formatCode="0.00">
                  <c:v>14.676645094763478</c:v>
                </c:pt>
                <c:pt idx="1">
                  <c:v>14.08428987326449</c:v>
                </c:pt>
                <c:pt idx="2">
                  <c:v>13.491934651765501</c:v>
                </c:pt>
                <c:pt idx="3">
                  <c:v>12.899579430266513</c:v>
                </c:pt>
                <c:pt idx="4">
                  <c:v>12.307224208767526</c:v>
                </c:pt>
                <c:pt idx="5">
                  <c:v>11.714868987268536</c:v>
                </c:pt>
                <c:pt idx="6">
                  <c:v>11.734602306198665</c:v>
                </c:pt>
                <c:pt idx="7">
                  <c:v>11.861440488774248</c:v>
                </c:pt>
                <c:pt idx="8">
                  <c:v>12.390477491420196</c:v>
                </c:pt>
                <c:pt idx="9">
                  <c:v>12.904262574312579</c:v>
                </c:pt>
                <c:pt idx="10">
                  <c:v>12.881253008262815</c:v>
                </c:pt>
                <c:pt idx="11">
                  <c:v>12.858853662498323</c:v>
                </c:pt>
                <c:pt idx="12">
                  <c:v>12.833310429412061</c:v>
                </c:pt>
                <c:pt idx="13">
                  <c:v>12.817968861097174</c:v>
                </c:pt>
                <c:pt idx="14">
                  <c:v>12.733009982347479</c:v>
                </c:pt>
                <c:pt idx="15">
                  <c:v>12.629522334251197</c:v>
                </c:pt>
                <c:pt idx="16">
                  <c:v>12.523264962223124</c:v>
                </c:pt>
                <c:pt idx="17">
                  <c:v>12.393729732266559</c:v>
                </c:pt>
                <c:pt idx="18">
                  <c:v>12.272789827114627</c:v>
                </c:pt>
                <c:pt idx="19">
                  <c:v>12.124834288987858</c:v>
                </c:pt>
                <c:pt idx="20">
                  <c:v>11.981929325668105</c:v>
                </c:pt>
                <c:pt idx="21">
                  <c:v>11.834327782133339</c:v>
                </c:pt>
                <c:pt idx="22">
                  <c:v>11.666413437713505</c:v>
                </c:pt>
                <c:pt idx="23">
                  <c:v>11.484243691049741</c:v>
                </c:pt>
                <c:pt idx="24">
                  <c:v>11.288575878256765</c:v>
                </c:pt>
                <c:pt idx="25">
                  <c:v>11.10137006762581</c:v>
                </c:pt>
                <c:pt idx="26">
                  <c:v>10.921957952979017</c:v>
                </c:pt>
                <c:pt idx="27">
                  <c:v>10.748147096180666</c:v>
                </c:pt>
                <c:pt idx="28">
                  <c:v>10.572167105249102</c:v>
                </c:pt>
                <c:pt idx="29">
                  <c:v>9.60337028320561</c:v>
                </c:pt>
                <c:pt idx="30">
                  <c:v>8.6359593097513798</c:v>
                </c:pt>
                <c:pt idx="31">
                  <c:v>8.6359593097513798</c:v>
                </c:pt>
                <c:pt idx="32">
                  <c:v>8.6359593097513798</c:v>
                </c:pt>
              </c:numCache>
            </c:numRef>
          </c:val>
          <c:smooth val="0"/>
          <c:extLst>
            <c:ext xmlns:c16="http://schemas.microsoft.com/office/drawing/2014/chart" uri="{C3380CC4-5D6E-409C-BE32-E72D297353CC}">
              <c16:uniqueId val="{00000003-E241-4F06-B277-7B04E0A01E55}"/>
            </c:ext>
          </c:extLst>
        </c:ser>
        <c:ser>
          <c:idx val="4"/>
          <c:order val="4"/>
          <c:spPr>
            <a:ln w="28575" cap="rnd">
              <a:solidFill>
                <a:schemeClr val="accent5"/>
              </a:solidFill>
              <a:round/>
            </a:ln>
            <a:effectLst/>
          </c:spPr>
          <c:marker>
            <c:symbol val="none"/>
          </c:marker>
          <c:val>
            <c:numRef>
              <c:f>RES!$J$103:$AP$103</c:f>
              <c:numCache>
                <c:formatCode>0.000</c:formatCode>
                <c:ptCount val="33"/>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4-E241-4F06-B277-7B04E0A01E55}"/>
            </c:ext>
          </c:extLst>
        </c:ser>
        <c:ser>
          <c:idx val="5"/>
          <c:order val="5"/>
          <c:spPr>
            <a:ln w="28575" cap="rnd">
              <a:solidFill>
                <a:schemeClr val="accent6"/>
              </a:solidFill>
              <a:round/>
            </a:ln>
            <a:effectLst/>
          </c:spPr>
          <c:marker>
            <c:symbol val="none"/>
          </c:marker>
          <c:val>
            <c:numRef>
              <c:f>RES!$J$104:$AP$104</c:f>
              <c:numCache>
                <c:formatCode>0.000</c:formatCode>
                <c:ptCount val="33"/>
                <c:pt idx="0" formatCode="0.00">
                  <c:v>5.6663208871172328</c:v>
                </c:pt>
                <c:pt idx="1">
                  <c:v>6.0410431274929115</c:v>
                </c:pt>
                <c:pt idx="2">
                  <c:v>6.4157653678685902</c:v>
                </c:pt>
                <c:pt idx="3">
                  <c:v>6.7904876082442698</c:v>
                </c:pt>
                <c:pt idx="4">
                  <c:v>7.1652098486199485</c:v>
                </c:pt>
                <c:pt idx="5">
                  <c:v>7.5399320889956272</c:v>
                </c:pt>
                <c:pt idx="6">
                  <c:v>7.5526328613888456</c:v>
                </c:pt>
                <c:pt idx="7">
                  <c:v>7.6342685402812736</c:v>
                </c:pt>
                <c:pt idx="8">
                  <c:v>7.9747677022310395</c:v>
                </c:pt>
                <c:pt idx="9">
                  <c:v>8.3054504130285416</c:v>
                </c:pt>
                <c:pt idx="10">
                  <c:v>8.2906409801957004</c:v>
                </c:pt>
                <c:pt idx="11">
                  <c:v>8.2762242977653848</c:v>
                </c:pt>
                <c:pt idx="12">
                  <c:v>8.2597841444001947</c:v>
                </c:pt>
                <c:pt idx="13">
                  <c:v>8.2499099935788216</c:v>
                </c:pt>
                <c:pt idx="14">
                  <c:v>8.1952287012121641</c:v>
                </c:pt>
                <c:pt idx="15">
                  <c:v>8.1286219094892811</c:v>
                </c:pt>
                <c:pt idx="16">
                  <c:v>8.0602324661316533</c:v>
                </c:pt>
                <c:pt idx="17">
                  <c:v>7.9768609117364342</c:v>
                </c:pt>
                <c:pt idx="18">
                  <c:v>7.8990214862434005</c:v>
                </c:pt>
                <c:pt idx="19">
                  <c:v>7.8037942403493981</c:v>
                </c:pt>
                <c:pt idx="20">
                  <c:v>7.7118176489097205</c:v>
                </c:pt>
                <c:pt idx="21">
                  <c:v>7.6168182412601304</c:v>
                </c:pt>
                <c:pt idx="22">
                  <c:v>7.5087450946402488</c:v>
                </c:pt>
                <c:pt idx="23">
                  <c:v>7.3914968761576478</c:v>
                </c:pt>
                <c:pt idx="24">
                  <c:v>7.2655610230068612</c:v>
                </c:pt>
                <c:pt idx="25">
                  <c:v>7.1450714895467105</c:v>
                </c:pt>
                <c:pt idx="26">
                  <c:v>7.029598140092264</c:v>
                </c:pt>
                <c:pt idx="27">
                  <c:v>6.9177298760925598</c:v>
                </c:pt>
                <c:pt idx="28">
                  <c:v>6.8044655124801219</c:v>
                </c:pt>
                <c:pt idx="29">
                  <c:v>6.1809278310787121</c:v>
                </c:pt>
                <c:pt idx="30">
                  <c:v>5.5582821105058882</c:v>
                </c:pt>
                <c:pt idx="31">
                  <c:v>5.5582821105058882</c:v>
                </c:pt>
                <c:pt idx="32">
                  <c:v>5.5582821105058882</c:v>
                </c:pt>
              </c:numCache>
            </c:numRef>
          </c:val>
          <c:smooth val="0"/>
          <c:extLst>
            <c:ext xmlns:c16="http://schemas.microsoft.com/office/drawing/2014/chart" uri="{C3380CC4-5D6E-409C-BE32-E72D297353CC}">
              <c16:uniqueId val="{00000005-E241-4F06-B277-7B04E0A01E55}"/>
            </c:ext>
          </c:extLst>
        </c:ser>
        <c:ser>
          <c:idx val="6"/>
          <c:order val="6"/>
          <c:spPr>
            <a:ln w="28575" cap="rnd">
              <a:solidFill>
                <a:schemeClr val="accent1">
                  <a:lumMod val="60000"/>
                </a:schemeClr>
              </a:solidFill>
              <a:round/>
            </a:ln>
            <a:effectLst/>
          </c:spPr>
          <c:marker>
            <c:symbol val="none"/>
          </c:marker>
          <c:val>
            <c:numRef>
              <c:f>RES!$J$105:$AP$105</c:f>
              <c:numCache>
                <c:formatCode>0.000</c:formatCode>
                <c:ptCount val="33"/>
                <c:pt idx="0" formatCode="0.00">
                  <c:v>1.4353020960038052</c:v>
                </c:pt>
                <c:pt idx="1">
                  <c:v>1.6984088756600515</c:v>
                </c:pt>
                <c:pt idx="2">
                  <c:v>1.9615156553162976</c:v>
                </c:pt>
                <c:pt idx="3">
                  <c:v>2.2246224349725439</c:v>
                </c:pt>
                <c:pt idx="4">
                  <c:v>2.4877292146287902</c:v>
                </c:pt>
                <c:pt idx="5">
                  <c:v>2.7508359942850364</c:v>
                </c:pt>
                <c:pt idx="6">
                  <c:v>2.7554696887854786</c:v>
                </c:pt>
                <c:pt idx="7">
                  <c:v>2.7852532944286827</c:v>
                </c:pt>
                <c:pt idx="8">
                  <c:v>2.9094795261320607</c:v>
                </c:pt>
                <c:pt idx="9">
                  <c:v>3.0301243665381357</c:v>
                </c:pt>
                <c:pt idx="10">
                  <c:v>3.024721357544065</c:v>
                </c:pt>
                <c:pt idx="11">
                  <c:v>3.0194616378968058</c:v>
                </c:pt>
                <c:pt idx="12">
                  <c:v>3.0134636839239133</c:v>
                </c:pt>
                <c:pt idx="13">
                  <c:v>3.0098612417305577</c:v>
                </c:pt>
                <c:pt idx="14">
                  <c:v>2.9899115571073023</c:v>
                </c:pt>
                <c:pt idx="15">
                  <c:v>2.965611025222862</c:v>
                </c:pt>
                <c:pt idx="16">
                  <c:v>2.9406601184777141</c:v>
                </c:pt>
                <c:pt idx="17">
                  <c:v>2.9102432035741197</c:v>
                </c:pt>
                <c:pt idx="18">
                  <c:v>2.8818446064921628</c:v>
                </c:pt>
                <c:pt idx="19">
                  <c:v>2.8471023127221473</c:v>
                </c:pt>
                <c:pt idx="20">
                  <c:v>2.8135459735698118</c:v>
                </c:pt>
                <c:pt idx="21">
                  <c:v>2.7788868033128735</c:v>
                </c:pt>
                <c:pt idx="22">
                  <c:v>2.7394578670534204</c:v>
                </c:pt>
                <c:pt idx="23">
                  <c:v>2.6966815375240785</c:v>
                </c:pt>
                <c:pt idx="24">
                  <c:v>2.6507356491885874</c:v>
                </c:pt>
                <c:pt idx="25">
                  <c:v>2.6067767724156075</c:v>
                </c:pt>
                <c:pt idx="26">
                  <c:v>2.564647978374671</c:v>
                </c:pt>
                <c:pt idx="27">
                  <c:v>2.523834448014405</c:v>
                </c:pt>
                <c:pt idx="28">
                  <c:v>2.4825115707500838</c:v>
                </c:pt>
                <c:pt idx="29">
                  <c:v>2.2550227979671824</c:v>
                </c:pt>
                <c:pt idx="30">
                  <c:v>2.0278594442893612</c:v>
                </c:pt>
                <c:pt idx="31">
                  <c:v>2.0278594442893612</c:v>
                </c:pt>
                <c:pt idx="32">
                  <c:v>2.0278594442893612</c:v>
                </c:pt>
              </c:numCache>
            </c:numRef>
          </c:val>
          <c:smooth val="0"/>
          <c:extLst>
            <c:ext xmlns:c16="http://schemas.microsoft.com/office/drawing/2014/chart" uri="{C3380CC4-5D6E-409C-BE32-E72D297353CC}">
              <c16:uniqueId val="{00000006-E241-4F06-B277-7B04E0A01E55}"/>
            </c:ext>
          </c:extLst>
        </c:ser>
        <c:ser>
          <c:idx val="7"/>
          <c:order val="7"/>
          <c:spPr>
            <a:ln w="28575" cap="rnd">
              <a:solidFill>
                <a:schemeClr val="accent2">
                  <a:lumMod val="60000"/>
                </a:schemeClr>
              </a:solidFill>
              <a:round/>
            </a:ln>
            <a:effectLst/>
          </c:spPr>
          <c:marker>
            <c:symbol val="none"/>
          </c:marker>
          <c:val>
            <c:numRef>
              <c:f>RES!$J$106:$AP$106</c:f>
              <c:numCache>
                <c:formatCode>0.000</c:formatCode>
                <c:ptCount val="33"/>
                <c:pt idx="0" formatCode="0.00">
                  <c:v>1.9878001092508091</c:v>
                </c:pt>
                <c:pt idx="1">
                  <c:v>2.1565691406754266</c:v>
                </c:pt>
                <c:pt idx="2">
                  <c:v>2.3253381721000443</c:v>
                </c:pt>
                <c:pt idx="3">
                  <c:v>2.4941072035246621</c:v>
                </c:pt>
                <c:pt idx="4">
                  <c:v>2.6628762349492798</c:v>
                </c:pt>
                <c:pt idx="5">
                  <c:v>2.8316452663738976</c:v>
                </c:pt>
                <c:pt idx="6">
                  <c:v>2.8364150814865612</c:v>
                </c:pt>
                <c:pt idx="7">
                  <c:v>2.8670736180588392</c:v>
                </c:pt>
                <c:pt idx="8">
                  <c:v>2.9949491517850015</c:v>
                </c:pt>
                <c:pt idx="9">
                  <c:v>3.1191380863336375</c:v>
                </c:pt>
                <c:pt idx="10">
                  <c:v>3.1135763571451216</c:v>
                </c:pt>
                <c:pt idx="11">
                  <c:v>3.1081621266084567</c:v>
                </c:pt>
                <c:pt idx="12">
                  <c:v>3.1019879751830155</c:v>
                </c:pt>
                <c:pt idx="13">
                  <c:v>3.0982797067128511</c:v>
                </c:pt>
                <c:pt idx="14">
                  <c:v>3.0777439749765887</c:v>
                </c:pt>
                <c:pt idx="15">
                  <c:v>3.0527295843608271</c:v>
                </c:pt>
                <c:pt idx="16">
                  <c:v>3.0270457133036586</c:v>
                </c:pt>
                <c:pt idx="17">
                  <c:v>2.995735263213795</c:v>
                </c:pt>
                <c:pt idx="18">
                  <c:v>2.966502421573709</c:v>
                </c:pt>
                <c:pt idx="19">
                  <c:v>2.9307395291652849</c:v>
                </c:pt>
                <c:pt idx="20">
                  <c:v>2.8961974302851794</c:v>
                </c:pt>
                <c:pt idx="21">
                  <c:v>2.8605201032477261</c:v>
                </c:pt>
                <c:pt idx="22">
                  <c:v>2.8199328923237768</c:v>
                </c:pt>
                <c:pt idx="23">
                  <c:v>2.7758999542364982</c:v>
                </c:pt>
                <c:pt idx="24">
                  <c:v>2.7286043475609896</c:v>
                </c:pt>
                <c:pt idx="25">
                  <c:v>2.6833541234153389</c:v>
                </c:pt>
                <c:pt idx="26">
                  <c:v>2.6399877429870267</c:v>
                </c:pt>
                <c:pt idx="27">
                  <c:v>2.5979752637666169</c:v>
                </c:pt>
                <c:pt idx="28">
                  <c:v>2.5554384749353085</c:v>
                </c:pt>
                <c:pt idx="29">
                  <c:v>2.3212669329232831</c:v>
                </c:pt>
                <c:pt idx="30">
                  <c:v>2.0874303696124241</c:v>
                </c:pt>
                <c:pt idx="31">
                  <c:v>2.0874303696124241</c:v>
                </c:pt>
                <c:pt idx="32">
                  <c:v>2.0874303696124241</c:v>
                </c:pt>
              </c:numCache>
            </c:numRef>
          </c:val>
          <c:smooth val="0"/>
          <c:extLst>
            <c:ext xmlns:c16="http://schemas.microsoft.com/office/drawing/2014/chart" uri="{C3380CC4-5D6E-409C-BE32-E72D297353CC}">
              <c16:uniqueId val="{00000007-E241-4F06-B277-7B04E0A01E55}"/>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RES!$J$110:$AP$110</c:f>
              <c:numCache>
                <c:formatCode>0.000</c:formatCode>
                <c:ptCount val="33"/>
                <c:pt idx="0" formatCode="0.00">
                  <c:v>16.048248534198041</c:v>
                </c:pt>
                <c:pt idx="1">
                  <c:v>17.585213087537426</c:v>
                </c:pt>
                <c:pt idx="2">
                  <c:v>19.12217764087681</c:v>
                </c:pt>
                <c:pt idx="3">
                  <c:v>20.659142194216194</c:v>
                </c:pt>
                <c:pt idx="4">
                  <c:v>22.196106747555582</c:v>
                </c:pt>
                <c:pt idx="5">
                  <c:v>23.733071300894967</c:v>
                </c:pt>
                <c:pt idx="6">
                  <c:v>24.374461775070689</c:v>
                </c:pt>
                <c:pt idx="7">
                  <c:v>25.005650242556861</c:v>
                </c:pt>
                <c:pt idx="8">
                  <c:v>26.343161760378774</c:v>
                </c:pt>
                <c:pt idx="9">
                  <c:v>25.252619628777868</c:v>
                </c:pt>
                <c:pt idx="10">
                  <c:v>25.724385892482257</c:v>
                </c:pt>
                <c:pt idx="11">
                  <c:v>26.167117752303955</c:v>
                </c:pt>
                <c:pt idx="12">
                  <c:v>26.651592302171192</c:v>
                </c:pt>
                <c:pt idx="13">
                  <c:v>27.133496642905587</c:v>
                </c:pt>
                <c:pt idx="14">
                  <c:v>27.520464144342252</c:v>
                </c:pt>
                <c:pt idx="15">
                  <c:v>27.983568473064885</c:v>
                </c:pt>
                <c:pt idx="16">
                  <c:v>28.434086624257716</c:v>
                </c:pt>
                <c:pt idx="17">
                  <c:v>28.868481159656845</c:v>
                </c:pt>
                <c:pt idx="18">
                  <c:v>29.383408487585221</c:v>
                </c:pt>
                <c:pt idx="19">
                  <c:v>29.782250507218865</c:v>
                </c:pt>
                <c:pt idx="20">
                  <c:v>30.271749022195767</c:v>
                </c:pt>
                <c:pt idx="21">
                  <c:v>30.707716160616329</c:v>
                </c:pt>
                <c:pt idx="22">
                  <c:v>31.165670138634496</c:v>
                </c:pt>
                <c:pt idx="23">
                  <c:v>31.630379986274107</c:v>
                </c:pt>
                <c:pt idx="24">
                  <c:v>32.085770607336208</c:v>
                </c:pt>
                <c:pt idx="25">
                  <c:v>32.523629497380334</c:v>
                </c:pt>
                <c:pt idx="26">
                  <c:v>32.974478937282868</c:v>
                </c:pt>
                <c:pt idx="27">
                  <c:v>33.413739522195868</c:v>
                </c:pt>
                <c:pt idx="28">
                  <c:v>33.851628264972547</c:v>
                </c:pt>
                <c:pt idx="29">
                  <c:v>35.707463188568454</c:v>
                </c:pt>
                <c:pt idx="30">
                  <c:v>37.485019248583988</c:v>
                </c:pt>
                <c:pt idx="31">
                  <c:v>37.485019248583988</c:v>
                </c:pt>
                <c:pt idx="32">
                  <c:v>37.485019248583988</c:v>
                </c:pt>
              </c:numCache>
            </c:numRef>
          </c:val>
          <c:smooth val="0"/>
          <c:extLst>
            <c:ext xmlns:c16="http://schemas.microsoft.com/office/drawing/2014/chart" uri="{C3380CC4-5D6E-409C-BE32-E72D297353CC}">
              <c16:uniqueId val="{00000000-A1C7-4D59-855A-509FECAAA809}"/>
            </c:ext>
          </c:extLst>
        </c:ser>
        <c:ser>
          <c:idx val="1"/>
          <c:order val="1"/>
          <c:spPr>
            <a:ln w="28575" cap="rnd">
              <a:solidFill>
                <a:schemeClr val="accent2"/>
              </a:solidFill>
              <a:round/>
            </a:ln>
            <a:effectLst/>
          </c:spPr>
          <c:marker>
            <c:symbol val="none"/>
          </c:marker>
          <c:val>
            <c:numRef>
              <c:f>RES!$J$111:$AP$111</c:f>
              <c:numCache>
                <c:formatCode>0.000</c:formatCode>
                <c:ptCount val="33"/>
                <c:pt idx="0" formatCode="0.00">
                  <c:v>3.3422499241462768E-2</c:v>
                </c:pt>
                <c:pt idx="1">
                  <c:v>4.0702012494378374E-2</c:v>
                </c:pt>
                <c:pt idx="2">
                  <c:v>4.7981525747293988E-2</c:v>
                </c:pt>
                <c:pt idx="3">
                  <c:v>5.5261039000209594E-2</c:v>
                </c:pt>
                <c:pt idx="4">
                  <c:v>6.2540552253125201E-2</c:v>
                </c:pt>
                <c:pt idx="5">
                  <c:v>6.9820065506040807E-2</c:v>
                </c:pt>
                <c:pt idx="6">
                  <c:v>7.170696519778913E-2</c:v>
                </c:pt>
                <c:pt idx="7">
                  <c:v>7.3563851716512904E-2</c:v>
                </c:pt>
                <c:pt idx="8">
                  <c:v>7.7498662369775831E-2</c:v>
                </c:pt>
                <c:pt idx="9">
                  <c:v>7.4290408279939532E-2</c:v>
                </c:pt>
                <c:pt idx="10">
                  <c:v>7.5678292343395681E-2</c:v>
                </c:pt>
                <c:pt idx="11">
                  <c:v>7.6980760408420057E-2</c:v>
                </c:pt>
                <c:pt idx="12">
                  <c:v>7.8406030841348159E-2</c:v>
                </c:pt>
                <c:pt idx="13">
                  <c:v>7.9823740003855587E-2</c:v>
                </c:pt>
                <c:pt idx="14">
                  <c:v>8.096215550669858E-2</c:v>
                </c:pt>
                <c:pt idx="15">
                  <c:v>8.2324557117413252E-2</c:v>
                </c:pt>
                <c:pt idx="16">
                  <c:v>8.3649931588721471E-2</c:v>
                </c:pt>
                <c:pt idx="17">
                  <c:v>8.4927872169293928E-2</c:v>
                </c:pt>
                <c:pt idx="18">
                  <c:v>8.6442731300292869E-2</c:v>
                </c:pt>
                <c:pt idx="19">
                  <c:v>8.7616080319656092E-2</c:v>
                </c:pt>
                <c:pt idx="20">
                  <c:v>8.905613070114668E-2</c:v>
                </c:pt>
                <c:pt idx="21">
                  <c:v>9.0338697705521581E-2</c:v>
                </c:pt>
                <c:pt idx="22">
                  <c:v>9.1685947555260772E-2</c:v>
                </c:pt>
                <c:pt idx="23">
                  <c:v>9.3053072424694613E-2</c:v>
                </c:pt>
                <c:pt idx="24">
                  <c:v>9.4392781162357803E-2</c:v>
                </c:pt>
                <c:pt idx="25">
                  <c:v>9.5680913490352376E-2</c:v>
                </c:pt>
                <c:pt idx="26">
                  <c:v>9.700726257632887E-2</c:v>
                </c:pt>
                <c:pt idx="27">
                  <c:v>9.8299518535282279E-2</c:v>
                </c:pt>
                <c:pt idx="28">
                  <c:v>9.9587738686707533E-2</c:v>
                </c:pt>
                <c:pt idx="29">
                  <c:v>0.10504739935561465</c:v>
                </c:pt>
                <c:pt idx="30">
                  <c:v>0.11027677228326704</c:v>
                </c:pt>
                <c:pt idx="31">
                  <c:v>0.11027677228326704</c:v>
                </c:pt>
                <c:pt idx="32">
                  <c:v>0.11027677228326704</c:v>
                </c:pt>
              </c:numCache>
            </c:numRef>
          </c:val>
          <c:smooth val="0"/>
          <c:extLst>
            <c:ext xmlns:c16="http://schemas.microsoft.com/office/drawing/2014/chart" uri="{C3380CC4-5D6E-409C-BE32-E72D297353CC}">
              <c16:uniqueId val="{00000001-A1C7-4D59-855A-509FECAAA809}"/>
            </c:ext>
          </c:extLst>
        </c:ser>
        <c:ser>
          <c:idx val="2"/>
          <c:order val="2"/>
          <c:spPr>
            <a:ln w="28575" cap="rnd">
              <a:solidFill>
                <a:schemeClr val="accent3"/>
              </a:solidFill>
              <a:round/>
            </a:ln>
            <a:effectLst/>
          </c:spPr>
          <c:marker>
            <c:symbol val="none"/>
          </c:marker>
          <c:val>
            <c:numRef>
              <c:f>RES!$J$112:$AP$112</c:f>
              <c:numCache>
                <c:formatCode>0.000</c:formatCode>
                <c:ptCount val="33"/>
                <c:pt idx="0" formatCode="0.00">
                  <c:v>9.0463349071673473</c:v>
                </c:pt>
                <c:pt idx="1">
                  <c:v>8.9413508126583654</c:v>
                </c:pt>
                <c:pt idx="2">
                  <c:v>8.8363667181493835</c:v>
                </c:pt>
                <c:pt idx="3">
                  <c:v>8.7313826236403997</c:v>
                </c:pt>
                <c:pt idx="4">
                  <c:v>8.6263985291314178</c:v>
                </c:pt>
                <c:pt idx="5">
                  <c:v>8.5214144346224359</c:v>
                </c:pt>
                <c:pt idx="6">
                  <c:v>8.7517071757336229</c:v>
                </c:pt>
                <c:pt idx="7">
                  <c:v>8.9783368626212638</c:v>
                </c:pt>
                <c:pt idx="8">
                  <c:v>9.4585734830712944</c:v>
                </c:pt>
                <c:pt idx="9">
                  <c:v>9.0670117949960787</c:v>
                </c:pt>
                <c:pt idx="10">
                  <c:v>9.2364005689280422</c:v>
                </c:pt>
                <c:pt idx="11">
                  <c:v>9.3953644726352543</c:v>
                </c:pt>
                <c:pt idx="12">
                  <c:v>9.5693161862632419</c:v>
                </c:pt>
                <c:pt idx="13">
                  <c:v>9.7423450603258424</c:v>
                </c:pt>
                <c:pt idx="14">
                  <c:v>9.8812866414918599</c:v>
                </c:pt>
                <c:pt idx="15">
                  <c:v>10.047565327527931</c:v>
                </c:pt>
                <c:pt idx="16">
                  <c:v>10.209324917256598</c:v>
                </c:pt>
                <c:pt idx="17">
                  <c:v>10.365295285243974</c:v>
                </c:pt>
                <c:pt idx="18">
                  <c:v>10.550181139643483</c:v>
                </c:pt>
                <c:pt idx="19">
                  <c:v>10.693386294178705</c:v>
                </c:pt>
                <c:pt idx="20">
                  <c:v>10.86914187416102</c:v>
                </c:pt>
                <c:pt idx="21">
                  <c:v>11.025676888919852</c:v>
                </c:pt>
                <c:pt idx="22">
                  <c:v>11.19010632955991</c:v>
                </c:pt>
                <c:pt idx="23">
                  <c:v>11.356961480896267</c:v>
                </c:pt>
                <c:pt idx="24">
                  <c:v>11.520470542260943</c:v>
                </c:pt>
                <c:pt idx="25">
                  <c:v>11.677684794838909</c:v>
                </c:pt>
                <c:pt idx="26">
                  <c:v>11.839563334549107</c:v>
                </c:pt>
                <c:pt idx="27">
                  <c:v>11.997280868928957</c:v>
                </c:pt>
                <c:pt idx="28">
                  <c:v>12.154505840199958</c:v>
                </c:pt>
                <c:pt idx="29">
                  <c:v>12.820847684696513</c:v>
                </c:pt>
                <c:pt idx="30">
                  <c:v>13.459083321210855</c:v>
                </c:pt>
                <c:pt idx="31">
                  <c:v>13.459083321210855</c:v>
                </c:pt>
                <c:pt idx="32">
                  <c:v>13.459083321210855</c:v>
                </c:pt>
              </c:numCache>
            </c:numRef>
          </c:val>
          <c:smooth val="0"/>
          <c:extLst>
            <c:ext xmlns:c16="http://schemas.microsoft.com/office/drawing/2014/chart" uri="{C3380CC4-5D6E-409C-BE32-E72D297353CC}">
              <c16:uniqueId val="{00000002-A1C7-4D59-855A-509FECAAA809}"/>
            </c:ext>
          </c:extLst>
        </c:ser>
        <c:ser>
          <c:idx val="3"/>
          <c:order val="3"/>
          <c:spPr>
            <a:ln w="28575" cap="rnd">
              <a:solidFill>
                <a:schemeClr val="accent4"/>
              </a:solidFill>
              <a:round/>
            </a:ln>
            <a:effectLst/>
          </c:spPr>
          <c:marker>
            <c:symbol val="none"/>
          </c:marker>
          <c:val>
            <c:numRef>
              <c:f>RES!$J$113:$AP$113</c:f>
              <c:numCache>
                <c:formatCode>0.000</c:formatCode>
                <c:ptCount val="33"/>
                <c:pt idx="0" formatCode="0.00">
                  <c:v>13.162628870539544</c:v>
                </c:pt>
                <c:pt idx="1">
                  <c:v>13.094413910887344</c:v>
                </c:pt>
                <c:pt idx="2">
                  <c:v>13.026198951235143</c:v>
                </c:pt>
                <c:pt idx="3">
                  <c:v>12.957983991582941</c:v>
                </c:pt>
                <c:pt idx="4">
                  <c:v>12.88976903193074</c:v>
                </c:pt>
                <c:pt idx="5">
                  <c:v>12.821554072278539</c:v>
                </c:pt>
                <c:pt idx="6">
                  <c:v>13.168058852120426</c:v>
                </c:pt>
                <c:pt idx="7">
                  <c:v>13.509052100026246</c:v>
                </c:pt>
                <c:pt idx="8">
                  <c:v>14.231629301713678</c:v>
                </c:pt>
                <c:pt idx="9">
                  <c:v>13.642474837415934</c:v>
                </c:pt>
                <c:pt idx="10">
                  <c:v>13.897341836418063</c:v>
                </c:pt>
                <c:pt idx="11">
                  <c:v>14.136523289515972</c:v>
                </c:pt>
                <c:pt idx="12">
                  <c:v>14.398255812838032</c:v>
                </c:pt>
                <c:pt idx="13">
                  <c:v>14.658599806417945</c:v>
                </c:pt>
                <c:pt idx="14">
                  <c:v>14.86765512340499</c:v>
                </c:pt>
                <c:pt idx="15">
                  <c:v>15.117842598786636</c:v>
                </c:pt>
                <c:pt idx="16">
                  <c:v>15.361230517814377</c:v>
                </c:pt>
                <c:pt idx="17">
                  <c:v>15.595907814895273</c:v>
                </c:pt>
                <c:pt idx="18">
                  <c:v>15.874092146565763</c:v>
                </c:pt>
                <c:pt idx="19">
                  <c:v>16.089562553079762</c:v>
                </c:pt>
                <c:pt idx="20">
                  <c:v>16.354009223234911</c:v>
                </c:pt>
                <c:pt idx="21">
                  <c:v>16.589536103347768</c:v>
                </c:pt>
                <c:pt idx="22">
                  <c:v>16.836941153344544</c:v>
                </c:pt>
                <c:pt idx="23">
                  <c:v>17.087995994241048</c:v>
                </c:pt>
                <c:pt idx="24">
                  <c:v>17.334016216315554</c:v>
                </c:pt>
                <c:pt idx="25">
                  <c:v>17.570565096296246</c:v>
                </c:pt>
                <c:pt idx="26">
                  <c:v>17.81413199073139</c:v>
                </c:pt>
                <c:pt idx="27">
                  <c:v>18.051438122326349</c:v>
                </c:pt>
                <c:pt idx="28">
                  <c:v>18.288003129946812</c:v>
                </c:pt>
                <c:pt idx="29">
                  <c:v>19.290599360347493</c:v>
                </c:pt>
                <c:pt idx="30">
                  <c:v>20.250906218699033</c:v>
                </c:pt>
                <c:pt idx="31">
                  <c:v>20.250906218699033</c:v>
                </c:pt>
                <c:pt idx="32">
                  <c:v>20.250906218699033</c:v>
                </c:pt>
              </c:numCache>
            </c:numRef>
          </c:val>
          <c:smooth val="0"/>
          <c:extLst>
            <c:ext xmlns:c16="http://schemas.microsoft.com/office/drawing/2014/chart" uri="{C3380CC4-5D6E-409C-BE32-E72D297353CC}">
              <c16:uniqueId val="{00000003-A1C7-4D59-855A-509FECAAA809}"/>
            </c:ext>
          </c:extLst>
        </c:ser>
        <c:ser>
          <c:idx val="4"/>
          <c:order val="4"/>
          <c:spPr>
            <a:ln w="28575" cap="rnd">
              <a:solidFill>
                <a:schemeClr val="accent5"/>
              </a:solidFill>
              <a:round/>
            </a:ln>
            <a:effectLst/>
          </c:spPr>
          <c:marker>
            <c:symbol val="none"/>
          </c:marker>
          <c:val>
            <c:numRef>
              <c:f>RES!$J$114:$AP$114</c:f>
              <c:numCache>
                <c:formatCode>0.000</c:formatCode>
                <c:ptCount val="33"/>
                <c:pt idx="0" formatCode="0.00">
                  <c:v>8.7188154069192709</c:v>
                </c:pt>
                <c:pt idx="1">
                  <c:v>9.2405614732838561</c:v>
                </c:pt>
                <c:pt idx="2">
                  <c:v>9.7623075396484413</c:v>
                </c:pt>
                <c:pt idx="3">
                  <c:v>10.284053606013025</c:v>
                </c:pt>
                <c:pt idx="4">
                  <c:v>10.80579967237761</c:v>
                </c:pt>
                <c:pt idx="5">
                  <c:v>11.327545738742195</c:v>
                </c:pt>
                <c:pt idx="6">
                  <c:v>11.633674677576382</c:v>
                </c:pt>
                <c:pt idx="7">
                  <c:v>11.934934305736965</c:v>
                </c:pt>
                <c:pt idx="8">
                  <c:v>12.573314509552006</c:v>
                </c:pt>
                <c:pt idx="9">
                  <c:v>12.052810200644087</c:v>
                </c:pt>
                <c:pt idx="10">
                  <c:v>12.277979284845399</c:v>
                </c:pt>
                <c:pt idx="11">
                  <c:v>12.489290552929761</c:v>
                </c:pt>
                <c:pt idx="12">
                  <c:v>12.720525168681778</c:v>
                </c:pt>
                <c:pt idx="13">
                  <c:v>12.950533050601445</c:v>
                </c:pt>
                <c:pt idx="14">
                  <c:v>13.135228575944822</c:v>
                </c:pt>
                <c:pt idx="15">
                  <c:v>13.356263409528173</c:v>
                </c:pt>
                <c:pt idx="16">
                  <c:v>13.571290992729253</c:v>
                </c:pt>
                <c:pt idx="17">
                  <c:v>13.778622943407196</c:v>
                </c:pt>
                <c:pt idx="18">
                  <c:v>14.024392350378852</c:v>
                </c:pt>
                <c:pt idx="19">
                  <c:v>14.214755458577244</c:v>
                </c:pt>
                <c:pt idx="20">
                  <c:v>14.448387960125332</c:v>
                </c:pt>
                <c:pt idx="21">
                  <c:v>14.656470497713345</c:v>
                </c:pt>
                <c:pt idx="22">
                  <c:v>14.875047122983252</c:v>
                </c:pt>
                <c:pt idx="23">
                  <c:v>15.096848253888005</c:v>
                </c:pt>
                <c:pt idx="24">
                  <c:v>15.314201415797591</c:v>
                </c:pt>
                <c:pt idx="25">
                  <c:v>15.523186866572463</c:v>
                </c:pt>
                <c:pt idx="26">
                  <c:v>15.73837257039621</c:v>
                </c:pt>
                <c:pt idx="27">
                  <c:v>15.948027035414443</c:v>
                </c:pt>
                <c:pt idx="28">
                  <c:v>16.157026734585113</c:v>
                </c:pt>
                <c:pt idx="29">
                  <c:v>17.042797257669289</c:v>
                </c:pt>
                <c:pt idx="30">
                  <c:v>17.891206101081181</c:v>
                </c:pt>
                <c:pt idx="31">
                  <c:v>17.891206101081181</c:v>
                </c:pt>
                <c:pt idx="32">
                  <c:v>17.891206101081181</c:v>
                </c:pt>
              </c:numCache>
            </c:numRef>
          </c:val>
          <c:smooth val="0"/>
          <c:extLst>
            <c:ext xmlns:c16="http://schemas.microsoft.com/office/drawing/2014/chart" uri="{C3380CC4-5D6E-409C-BE32-E72D297353CC}">
              <c16:uniqueId val="{00000004-A1C7-4D59-855A-509FECAAA809}"/>
            </c:ext>
          </c:extLst>
        </c:ser>
        <c:ser>
          <c:idx val="5"/>
          <c:order val="5"/>
          <c:spPr>
            <a:ln w="28575" cap="rnd">
              <a:solidFill>
                <a:schemeClr val="accent6"/>
              </a:solidFill>
              <a:round/>
            </a:ln>
            <a:effectLst/>
          </c:spPr>
          <c:marker>
            <c:symbol val="none"/>
          </c:marker>
          <c:val>
            <c:numRef>
              <c:f>RES!$J$115:$AP$115</c:f>
              <c:numCache>
                <c:formatCode>0.000</c:formatCode>
                <c:ptCount val="33"/>
                <c:pt idx="0" formatCode="0.00">
                  <c:v>6.0852758810873713</c:v>
                </c:pt>
                <c:pt idx="1">
                  <c:v>5.8917973817997336</c:v>
                </c:pt>
                <c:pt idx="2">
                  <c:v>5.6983188825120958</c:v>
                </c:pt>
                <c:pt idx="3">
                  <c:v>5.5048403832244572</c:v>
                </c:pt>
                <c:pt idx="4">
                  <c:v>5.3113618839368195</c:v>
                </c:pt>
                <c:pt idx="5">
                  <c:v>5.1178833846491818</c:v>
                </c:pt>
                <c:pt idx="6">
                  <c:v>5.2561950936243456</c:v>
                </c:pt>
                <c:pt idx="7">
                  <c:v>5.3923068058159256</c:v>
                </c:pt>
                <c:pt idx="8">
                  <c:v>5.6807325172230936</c:v>
                </c:pt>
                <c:pt idx="9">
                  <c:v>5.4455641572236981</c:v>
                </c:pt>
                <c:pt idx="10">
                  <c:v>5.5472975018818618</c:v>
                </c:pt>
                <c:pt idx="11">
                  <c:v>5.6427697650588096</c:v>
                </c:pt>
                <c:pt idx="12">
                  <c:v>5.7472435694651285</c:v>
                </c:pt>
                <c:pt idx="13">
                  <c:v>5.8511631248891192</c:v>
                </c:pt>
                <c:pt idx="14">
                  <c:v>5.9346101647135532</c:v>
                </c:pt>
                <c:pt idx="15">
                  <c:v>6.0344756190948958</c:v>
                </c:pt>
                <c:pt idx="16">
                  <c:v>6.1316269456653298</c:v>
                </c:pt>
                <c:pt idx="17">
                  <c:v>6.2253013187338402</c:v>
                </c:pt>
                <c:pt idx="18">
                  <c:v>6.3363420678427449</c:v>
                </c:pt>
                <c:pt idx="19">
                  <c:v>6.422349770744054</c:v>
                </c:pt>
                <c:pt idx="20">
                  <c:v>6.5279069607448381</c:v>
                </c:pt>
                <c:pt idx="21">
                  <c:v>6.6219204554875732</c:v>
                </c:pt>
                <c:pt idx="22">
                  <c:v>6.7206752700380523</c:v>
                </c:pt>
                <c:pt idx="23">
                  <c:v>6.8208869441936821</c:v>
                </c:pt>
                <c:pt idx="24">
                  <c:v>6.9190889873894532</c:v>
                </c:pt>
                <c:pt idx="25">
                  <c:v>7.0135104261390708</c:v>
                </c:pt>
                <c:pt idx="26">
                  <c:v>7.1107331929778725</c:v>
                </c:pt>
                <c:pt idx="27">
                  <c:v>7.2054568981635878</c:v>
                </c:pt>
                <c:pt idx="28">
                  <c:v>7.2998847744619733</c:v>
                </c:pt>
                <c:pt idx="29">
                  <c:v>7.7000835772087974</c:v>
                </c:pt>
                <c:pt idx="30">
                  <c:v>8.0834020491207283</c:v>
                </c:pt>
                <c:pt idx="31">
                  <c:v>8.0834020491207283</c:v>
                </c:pt>
                <c:pt idx="32">
                  <c:v>8.0834020491207283</c:v>
                </c:pt>
              </c:numCache>
            </c:numRef>
          </c:val>
          <c:smooth val="0"/>
          <c:extLst>
            <c:ext xmlns:c16="http://schemas.microsoft.com/office/drawing/2014/chart" uri="{C3380CC4-5D6E-409C-BE32-E72D297353CC}">
              <c16:uniqueId val="{00000005-A1C7-4D59-855A-509FECAAA809}"/>
            </c:ext>
          </c:extLst>
        </c:ser>
        <c:ser>
          <c:idx val="6"/>
          <c:order val="6"/>
          <c:spPr>
            <a:ln w="28575" cap="rnd">
              <a:solidFill>
                <a:schemeClr val="accent1">
                  <a:lumMod val="60000"/>
                </a:schemeClr>
              </a:solidFill>
              <a:round/>
            </a:ln>
            <a:effectLst/>
          </c:spPr>
          <c:marker>
            <c:symbol val="none"/>
          </c:marker>
          <c:val>
            <c:numRef>
              <c:f>RES!$J$116:$AP$116</c:f>
              <c:numCache>
                <c:formatCode>0.000</c:formatCode>
                <c:ptCount val="33"/>
                <c:pt idx="0" formatCode="0.00">
                  <c:v>3.2557540936677181</c:v>
                </c:pt>
                <c:pt idx="1">
                  <c:v>3.5369252230832862</c:v>
                </c:pt>
                <c:pt idx="2">
                  <c:v>3.8180963524988547</c:v>
                </c:pt>
                <c:pt idx="3">
                  <c:v>4.0992674819144233</c:v>
                </c:pt>
                <c:pt idx="4">
                  <c:v>4.3804386113299909</c:v>
                </c:pt>
                <c:pt idx="5">
                  <c:v>4.6616097407455594</c:v>
                </c:pt>
                <c:pt idx="6">
                  <c:v>4.7875905733201538</c:v>
                </c:pt>
                <c:pt idx="7">
                  <c:v>4.911567544988749</c:v>
                </c:pt>
                <c:pt idx="8">
                  <c:v>5.174279296063415</c:v>
                </c:pt>
                <c:pt idx="9">
                  <c:v>4.9600768542929519</c:v>
                </c:pt>
                <c:pt idx="10">
                  <c:v>5.0527403862209326</c:v>
                </c:pt>
                <c:pt idx="11">
                  <c:v>5.139701029625118</c:v>
                </c:pt>
                <c:pt idx="12">
                  <c:v>5.2348607016360162</c:v>
                </c:pt>
                <c:pt idx="13">
                  <c:v>5.329515537514351</c:v>
                </c:pt>
                <c:pt idx="14">
                  <c:v>5.4055230399222296</c:v>
                </c:pt>
                <c:pt idx="15">
                  <c:v>5.4964852092253427</c:v>
                </c:pt>
                <c:pt idx="16">
                  <c:v>5.5849752228167979</c:v>
                </c:pt>
                <c:pt idx="17">
                  <c:v>5.6702982630533496</c:v>
                </c:pt>
                <c:pt idx="18">
                  <c:v>5.7714394182462083</c:v>
                </c:pt>
                <c:pt idx="19">
                  <c:v>5.8497792934427544</c:v>
                </c:pt>
                <c:pt idx="20">
                  <c:v>5.9459257641867564</c:v>
                </c:pt>
                <c:pt idx="21">
                  <c:v>6.0315576924500665</c:v>
                </c:pt>
                <c:pt idx="22">
                  <c:v>6.1215082385752178</c:v>
                </c:pt>
                <c:pt idx="23">
                  <c:v>6.2127857611896431</c:v>
                </c:pt>
                <c:pt idx="24">
                  <c:v>6.3022328170752084</c:v>
                </c:pt>
                <c:pt idx="25">
                  <c:v>6.3882363199941397</c:v>
                </c:pt>
                <c:pt idx="26">
                  <c:v>6.4767914047538646</c:v>
                </c:pt>
                <c:pt idx="27">
                  <c:v>6.5630702262091738</c:v>
                </c:pt>
                <c:pt idx="28">
                  <c:v>6.6490795927513631</c:v>
                </c:pt>
                <c:pt idx="29">
                  <c:v>7.0135995508877649</c:v>
                </c:pt>
                <c:pt idx="30">
                  <c:v>7.3627441069814061</c:v>
                </c:pt>
                <c:pt idx="31">
                  <c:v>7.3627441069814061</c:v>
                </c:pt>
                <c:pt idx="32">
                  <c:v>7.3627441069814061</c:v>
                </c:pt>
              </c:numCache>
            </c:numRef>
          </c:val>
          <c:smooth val="0"/>
          <c:extLst>
            <c:ext xmlns:c16="http://schemas.microsoft.com/office/drawing/2014/chart" uri="{C3380CC4-5D6E-409C-BE32-E72D297353CC}">
              <c16:uniqueId val="{00000006-A1C7-4D59-855A-509FECAAA809}"/>
            </c:ext>
          </c:extLst>
        </c:ser>
        <c:ser>
          <c:idx val="7"/>
          <c:order val="7"/>
          <c:spPr>
            <a:ln w="28575" cap="rnd">
              <a:solidFill>
                <a:schemeClr val="accent2">
                  <a:lumMod val="60000"/>
                </a:schemeClr>
              </a:solidFill>
              <a:round/>
            </a:ln>
            <a:effectLst/>
          </c:spPr>
          <c:marker>
            <c:symbol val="none"/>
          </c:marker>
          <c:val>
            <c:numRef>
              <c:f>RES!$J$117:$AP$117</c:f>
              <c:numCache>
                <c:formatCode>0.000</c:formatCode>
                <c:ptCount val="33"/>
                <c:pt idx="0" formatCode="0.00">
                  <c:v>5.8181446629629967</c:v>
                </c:pt>
                <c:pt idx="1">
                  <c:v>6.4084282360981142</c:v>
                </c:pt>
                <c:pt idx="2">
                  <c:v>6.9987118092332326</c:v>
                </c:pt>
                <c:pt idx="3">
                  <c:v>7.58899538236835</c:v>
                </c:pt>
                <c:pt idx="4">
                  <c:v>8.1792789555034684</c:v>
                </c:pt>
                <c:pt idx="5">
                  <c:v>8.7695625286385859</c:v>
                </c:pt>
                <c:pt idx="6">
                  <c:v>9.006561516137733</c:v>
                </c:pt>
                <c:pt idx="7">
                  <c:v>9.2397907793375111</c:v>
                </c:pt>
                <c:pt idx="8">
                  <c:v>9.7340121440991485</c:v>
                </c:pt>
                <c:pt idx="9">
                  <c:v>9.331047972629765</c:v>
                </c:pt>
                <c:pt idx="10">
                  <c:v>9.5053694372225852</c:v>
                </c:pt>
                <c:pt idx="11">
                  <c:v>9.6689624538575814</c:v>
                </c:pt>
                <c:pt idx="12">
                  <c:v>9.8479797333630188</c:v>
                </c:pt>
                <c:pt idx="13">
                  <c:v>10.026047299726976</c:v>
                </c:pt>
                <c:pt idx="14">
                  <c:v>10.169034933201617</c:v>
                </c:pt>
                <c:pt idx="15">
                  <c:v>10.340155742494563</c:v>
                </c:pt>
                <c:pt idx="16">
                  <c:v>10.506625857006172</c:v>
                </c:pt>
                <c:pt idx="17">
                  <c:v>10.667138164578345</c:v>
                </c:pt>
                <c:pt idx="18">
                  <c:v>10.857407992815974</c:v>
                </c:pt>
                <c:pt idx="19">
                  <c:v>11.004783357170686</c:v>
                </c:pt>
                <c:pt idx="20">
                  <c:v>11.185657032572479</c:v>
                </c:pt>
                <c:pt idx="21">
                  <c:v>11.346750429728647</c:v>
                </c:pt>
                <c:pt idx="22">
                  <c:v>11.515968142621864</c:v>
                </c:pt>
                <c:pt idx="23">
                  <c:v>11.687682204189446</c:v>
                </c:pt>
                <c:pt idx="24">
                  <c:v>11.855952735876134</c:v>
                </c:pt>
                <c:pt idx="25">
                  <c:v>12.017745150615873</c:v>
                </c:pt>
                <c:pt idx="26">
                  <c:v>12.184337678995369</c:v>
                </c:pt>
                <c:pt idx="27">
                  <c:v>12.346648031369176</c:v>
                </c:pt>
                <c:pt idx="28">
                  <c:v>12.508451476935962</c:v>
                </c:pt>
                <c:pt idx="29">
                  <c:v>13.194197548271104</c:v>
                </c:pt>
                <c:pt idx="30">
                  <c:v>13.851018943986492</c:v>
                </c:pt>
                <c:pt idx="31">
                  <c:v>13.851018943986492</c:v>
                </c:pt>
                <c:pt idx="32">
                  <c:v>13.851018943986492</c:v>
                </c:pt>
              </c:numCache>
            </c:numRef>
          </c:val>
          <c:smooth val="0"/>
          <c:extLst>
            <c:ext xmlns:c16="http://schemas.microsoft.com/office/drawing/2014/chart" uri="{C3380CC4-5D6E-409C-BE32-E72D297353CC}">
              <c16:uniqueId val="{00000007-A1C7-4D59-855A-509FECAAA809}"/>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RES!$J$121:$AP$121</c:f>
              <c:numCache>
                <c:formatCode>0.000</c:formatCode>
                <c:ptCount val="33"/>
                <c:pt idx="0" formatCode="0.00">
                  <c:v>29.15490908598996</c:v>
                </c:pt>
                <c:pt idx="1">
                  <c:v>29.919036883195538</c:v>
                </c:pt>
                <c:pt idx="2">
                  <c:v>30.683164680401113</c:v>
                </c:pt>
                <c:pt idx="3">
                  <c:v>31.447292477606691</c:v>
                </c:pt>
                <c:pt idx="4">
                  <c:v>32.211420274812269</c:v>
                </c:pt>
                <c:pt idx="5">
                  <c:v>32.975548072017844</c:v>
                </c:pt>
                <c:pt idx="6">
                  <c:v>34.023354317600244</c:v>
                </c:pt>
                <c:pt idx="7">
                  <c:v>34.495377235836116</c:v>
                </c:pt>
                <c:pt idx="8">
                  <c:v>31.284170601216626</c:v>
                </c:pt>
                <c:pt idx="9">
                  <c:v>32.09809781910019</c:v>
                </c:pt>
                <c:pt idx="10">
                  <c:v>33.138898170362921</c:v>
                </c:pt>
                <c:pt idx="11">
                  <c:v>34.252021169311604</c:v>
                </c:pt>
                <c:pt idx="12">
                  <c:v>35.325378659187209</c:v>
                </c:pt>
                <c:pt idx="13">
                  <c:v>36.364482286506075</c:v>
                </c:pt>
                <c:pt idx="14">
                  <c:v>37.744286567017205</c:v>
                </c:pt>
                <c:pt idx="15">
                  <c:v>39.104874720191667</c:v>
                </c:pt>
                <c:pt idx="16">
                  <c:v>40.521811620436111</c:v>
                </c:pt>
                <c:pt idx="17">
                  <c:v>42.12332346791063</c:v>
                </c:pt>
                <c:pt idx="18">
                  <c:v>43.537246820234685</c:v>
                </c:pt>
                <c:pt idx="19">
                  <c:v>45.122492425986323</c:v>
                </c:pt>
                <c:pt idx="20">
                  <c:v>46.51805430909247</c:v>
                </c:pt>
                <c:pt idx="21">
                  <c:v>48.055797532213191</c:v>
                </c:pt>
                <c:pt idx="22">
                  <c:v>49.684677197829316</c:v>
                </c:pt>
                <c:pt idx="23">
                  <c:v>51.397913617095462</c:v>
                </c:pt>
                <c:pt idx="24">
                  <c:v>53.003969001819058</c:v>
                </c:pt>
                <c:pt idx="25">
                  <c:v>54.602901431397719</c:v>
                </c:pt>
                <c:pt idx="26">
                  <c:v>56.140716078311677</c:v>
                </c:pt>
                <c:pt idx="27">
                  <c:v>57.677179039604802</c:v>
                </c:pt>
                <c:pt idx="28">
                  <c:v>59.238916767977422</c:v>
                </c:pt>
                <c:pt idx="29">
                  <c:v>67.29623050551335</c:v>
                </c:pt>
                <c:pt idx="30">
                  <c:v>74.592123148630179</c:v>
                </c:pt>
                <c:pt idx="31">
                  <c:v>74.592123148630179</c:v>
                </c:pt>
                <c:pt idx="32">
                  <c:v>74.592123148630179</c:v>
                </c:pt>
              </c:numCache>
            </c:numRef>
          </c:val>
          <c:smooth val="0"/>
          <c:extLst>
            <c:ext xmlns:c16="http://schemas.microsoft.com/office/drawing/2014/chart" uri="{C3380CC4-5D6E-409C-BE32-E72D297353CC}">
              <c16:uniqueId val="{00000000-FCE1-4578-8869-E1D0DCE86E50}"/>
            </c:ext>
          </c:extLst>
        </c:ser>
        <c:ser>
          <c:idx val="1"/>
          <c:order val="1"/>
          <c:spPr>
            <a:ln w="28575" cap="rnd">
              <a:solidFill>
                <a:schemeClr val="accent2"/>
              </a:solidFill>
              <a:round/>
            </a:ln>
            <a:effectLst/>
          </c:spPr>
          <c:marker>
            <c:symbol val="none"/>
          </c:marker>
          <c:val>
            <c:numRef>
              <c:f>RES!$J$122:$AP$122</c:f>
              <c:numCache>
                <c:formatCode>0.000</c:formatCode>
                <c:ptCount val="33"/>
                <c:pt idx="0" formatCode="0.00">
                  <c:v>3.8919130042693295</c:v>
                </c:pt>
                <c:pt idx="1">
                  <c:v>4.2233553788747606</c:v>
                </c:pt>
                <c:pt idx="2">
                  <c:v>4.5547977534801918</c:v>
                </c:pt>
                <c:pt idx="3">
                  <c:v>4.886240128085622</c:v>
                </c:pt>
                <c:pt idx="4">
                  <c:v>5.2176825026910532</c:v>
                </c:pt>
                <c:pt idx="5">
                  <c:v>5.5491248772964843</c:v>
                </c:pt>
                <c:pt idx="6">
                  <c:v>5.7254497011098566</c:v>
                </c:pt>
                <c:pt idx="7">
                  <c:v>5.804881712748184</c:v>
                </c:pt>
                <c:pt idx="8">
                  <c:v>5.2644998945782655</c:v>
                </c:pt>
                <c:pt idx="9">
                  <c:v>5.4014675581088989</c:v>
                </c:pt>
                <c:pt idx="10">
                  <c:v>5.5766134301009975</c:v>
                </c:pt>
                <c:pt idx="11">
                  <c:v>5.7639297564730985</c:v>
                </c:pt>
                <c:pt idx="12">
                  <c:v>5.9445543434031789</c:v>
                </c:pt>
                <c:pt idx="13">
                  <c:v>6.1194146907081288</c:v>
                </c:pt>
                <c:pt idx="14">
                  <c:v>6.3516081402927247</c:v>
                </c:pt>
                <c:pt idx="15">
                  <c:v>6.5805679001743833</c:v>
                </c:pt>
                <c:pt idx="16">
                  <c:v>6.8190100266110303</c:v>
                </c:pt>
                <c:pt idx="17">
                  <c:v>7.0885124231958248</c:v>
                </c:pt>
                <c:pt idx="18">
                  <c:v>7.3264474298206208</c:v>
                </c:pt>
                <c:pt idx="19">
                  <c:v>7.5932125434220534</c:v>
                </c:pt>
                <c:pt idx="20">
                  <c:v>7.8280576822030072</c:v>
                </c:pt>
                <c:pt idx="21">
                  <c:v>8.0868290953627557</c:v>
                </c:pt>
                <c:pt idx="22">
                  <c:v>8.3609369480920606</c:v>
                </c:pt>
                <c:pt idx="23">
                  <c:v>8.6492403544244478</c:v>
                </c:pt>
                <c:pt idx="24">
                  <c:v>8.9195073374089802</c:v>
                </c:pt>
                <c:pt idx="25">
                  <c:v>9.1885756695778138</c:v>
                </c:pt>
                <c:pt idx="26">
                  <c:v>9.4473591019327259</c:v>
                </c:pt>
                <c:pt idx="27">
                  <c:v>9.7059150726458032</c:v>
                </c:pt>
                <c:pt idx="28">
                  <c:v>9.968724280893019</c:v>
                </c:pt>
                <c:pt idx="29">
                  <c:v>11.324608950572973</c:v>
                </c:pt>
                <c:pt idx="30">
                  <c:v>12.552361686617992</c:v>
                </c:pt>
                <c:pt idx="31">
                  <c:v>12.552361686617992</c:v>
                </c:pt>
                <c:pt idx="32">
                  <c:v>12.552361686617992</c:v>
                </c:pt>
              </c:numCache>
            </c:numRef>
          </c:val>
          <c:smooth val="0"/>
          <c:extLst>
            <c:ext xmlns:c16="http://schemas.microsoft.com/office/drawing/2014/chart" uri="{C3380CC4-5D6E-409C-BE32-E72D297353CC}">
              <c16:uniqueId val="{00000001-FCE1-4578-8869-E1D0DCE86E50}"/>
            </c:ext>
          </c:extLst>
        </c:ser>
        <c:ser>
          <c:idx val="2"/>
          <c:order val="2"/>
          <c:spPr>
            <a:ln w="28575" cap="rnd">
              <a:solidFill>
                <a:schemeClr val="accent3"/>
              </a:solidFill>
              <a:round/>
            </a:ln>
            <a:effectLst/>
          </c:spPr>
          <c:marker>
            <c:symbol val="none"/>
          </c:marker>
          <c:val>
            <c:numRef>
              <c:f>RES!$J$123:$AP$123</c:f>
              <c:numCache>
                <c:formatCode>0.000</c:formatCode>
                <c:ptCount val="33"/>
                <c:pt idx="0" formatCode="0.00">
                  <c:v>7.0842557645058601</c:v>
                </c:pt>
                <c:pt idx="1">
                  <c:v>7.2302855472935121</c:v>
                </c:pt>
                <c:pt idx="2">
                  <c:v>7.3763153300811641</c:v>
                </c:pt>
                <c:pt idx="3">
                  <c:v>7.5223451128688161</c:v>
                </c:pt>
                <c:pt idx="4">
                  <c:v>7.6683748956564681</c:v>
                </c:pt>
                <c:pt idx="5">
                  <c:v>7.8144046784441201</c:v>
                </c:pt>
                <c:pt idx="6">
                  <c:v>8.0627093316283442</c:v>
                </c:pt>
                <c:pt idx="7">
                  <c:v>8.1745673087130459</c:v>
                </c:pt>
                <c:pt idx="8">
                  <c:v>7.4135892623673918</c:v>
                </c:pt>
                <c:pt idx="9">
                  <c:v>7.606470261508071</c:v>
                </c:pt>
                <c:pt idx="10">
                  <c:v>7.8531146877499332</c:v>
                </c:pt>
                <c:pt idx="11">
                  <c:v>8.1168978264462552</c:v>
                </c:pt>
                <c:pt idx="12">
                  <c:v>8.3712575044782476</c:v>
                </c:pt>
                <c:pt idx="13">
                  <c:v>8.6174998483196585</c:v>
                </c:pt>
                <c:pt idx="14">
                  <c:v>8.94447997921589</c:v>
                </c:pt>
                <c:pt idx="15">
                  <c:v>9.2669063542493451</c:v>
                </c:pt>
                <c:pt idx="16">
                  <c:v>9.6026860149284694</c:v>
                </c:pt>
                <c:pt idx="17">
                  <c:v>9.9822054590376741</c:v>
                </c:pt>
                <c:pt idx="18">
                  <c:v>10.317270981989159</c:v>
                </c:pt>
                <c:pt idx="19">
                  <c:v>10.692935721541447</c:v>
                </c:pt>
                <c:pt idx="20">
                  <c:v>11.023650021864391</c:v>
                </c:pt>
                <c:pt idx="21">
                  <c:v>11.388057849469151</c:v>
                </c:pt>
                <c:pt idx="22">
                  <c:v>11.774062802345563</c:v>
                </c:pt>
                <c:pt idx="23">
                  <c:v>12.180058258759367</c:v>
                </c:pt>
                <c:pt idx="24">
                  <c:v>12.560654410938998</c:v>
                </c:pt>
                <c:pt idx="25">
                  <c:v>12.939562595601384</c:v>
                </c:pt>
                <c:pt idx="26">
                  <c:v>13.303987348911905</c:v>
                </c:pt>
                <c:pt idx="27">
                  <c:v>13.668091785531521</c:v>
                </c:pt>
                <c:pt idx="28">
                  <c:v>14.038185728608505</c:v>
                </c:pt>
                <c:pt idx="29">
                  <c:v>15.947573558305312</c:v>
                </c:pt>
                <c:pt idx="30">
                  <c:v>17.676523065961195</c:v>
                </c:pt>
                <c:pt idx="31">
                  <c:v>17.676523065961195</c:v>
                </c:pt>
                <c:pt idx="32">
                  <c:v>17.676523065961195</c:v>
                </c:pt>
              </c:numCache>
            </c:numRef>
          </c:val>
          <c:smooth val="0"/>
          <c:extLst>
            <c:ext xmlns:c16="http://schemas.microsoft.com/office/drawing/2014/chart" uri="{C3380CC4-5D6E-409C-BE32-E72D297353CC}">
              <c16:uniqueId val="{00000002-FCE1-4578-8869-E1D0DCE86E50}"/>
            </c:ext>
          </c:extLst>
        </c:ser>
        <c:ser>
          <c:idx val="3"/>
          <c:order val="3"/>
          <c:spPr>
            <a:ln w="28575" cap="rnd">
              <a:solidFill>
                <a:schemeClr val="accent4"/>
              </a:solidFill>
              <a:round/>
            </a:ln>
            <a:effectLst/>
          </c:spPr>
          <c:marker>
            <c:symbol val="none"/>
          </c:marker>
          <c:val>
            <c:numRef>
              <c:f>RES!$J$124:$AP$124</c:f>
              <c:numCache>
                <c:formatCode>0.000</c:formatCode>
                <c:ptCount val="33"/>
                <c:pt idx="0" formatCode="0.00">
                  <c:v>31.741720257828536</c:v>
                </c:pt>
                <c:pt idx="1">
                  <c:v>32.208008967956879</c:v>
                </c:pt>
                <c:pt idx="2">
                  <c:v>32.674297678085217</c:v>
                </c:pt>
                <c:pt idx="3">
                  <c:v>33.140586388213556</c:v>
                </c:pt>
                <c:pt idx="4">
                  <c:v>33.606875098341902</c:v>
                </c:pt>
                <c:pt idx="5">
                  <c:v>34.073163808470241</c:v>
                </c:pt>
                <c:pt idx="6">
                  <c:v>35.155847067207745</c:v>
                </c:pt>
                <c:pt idx="7">
                  <c:v>35.643581620679832</c:v>
                </c:pt>
                <c:pt idx="8">
                  <c:v>32.325487575805298</c:v>
                </c:pt>
                <c:pt idx="9">
                  <c:v>33.166506968797663</c:v>
                </c:pt>
                <c:pt idx="10">
                  <c:v>34.241951136792608</c:v>
                </c:pt>
                <c:pt idx="11">
                  <c:v>35.392125265796352</c:v>
                </c:pt>
                <c:pt idx="12">
                  <c:v>36.501210261069396</c:v>
                </c:pt>
                <c:pt idx="13">
                  <c:v>37.574901228397259</c:v>
                </c:pt>
                <c:pt idx="14">
                  <c:v>39.000633324519086</c:v>
                </c:pt>
                <c:pt idx="15">
                  <c:v>40.406509670159473</c:v>
                </c:pt>
                <c:pt idx="16">
                  <c:v>41.870610372984899</c:v>
                </c:pt>
                <c:pt idx="17">
                  <c:v>43.525429737958866</c:v>
                </c:pt>
                <c:pt idx="18">
                  <c:v>44.986416584671517</c:v>
                </c:pt>
                <c:pt idx="19">
                  <c:v>46.62442827392281</c:v>
                </c:pt>
                <c:pt idx="20">
                  <c:v>48.06644247620634</c:v>
                </c:pt>
                <c:pt idx="21">
                  <c:v>49.655370630556533</c:v>
                </c:pt>
                <c:pt idx="22">
                  <c:v>51.338468771931204</c:v>
                </c:pt>
                <c:pt idx="23">
                  <c:v>53.108731544480179</c:v>
                </c:pt>
                <c:pt idx="24">
                  <c:v>54.768245681732672</c:v>
                </c:pt>
                <c:pt idx="25">
                  <c:v>56.420399770960373</c:v>
                </c:pt>
                <c:pt idx="26">
                  <c:v>58.009401726498083</c:v>
                </c:pt>
                <c:pt idx="27">
                  <c:v>59.597007004549937</c:v>
                </c:pt>
                <c:pt idx="28">
                  <c:v>61.210728339173151</c:v>
                </c:pt>
                <c:pt idx="29">
                  <c:v>69.536235779889964</c:v>
                </c:pt>
                <c:pt idx="30">
                  <c:v>77.074977656598392</c:v>
                </c:pt>
                <c:pt idx="31">
                  <c:v>77.074977656598392</c:v>
                </c:pt>
                <c:pt idx="32">
                  <c:v>77.074977656598392</c:v>
                </c:pt>
              </c:numCache>
            </c:numRef>
          </c:val>
          <c:smooth val="0"/>
          <c:extLst>
            <c:ext xmlns:c16="http://schemas.microsoft.com/office/drawing/2014/chart" uri="{C3380CC4-5D6E-409C-BE32-E72D297353CC}">
              <c16:uniqueId val="{00000003-FCE1-4578-8869-E1D0DCE86E50}"/>
            </c:ext>
          </c:extLst>
        </c:ser>
        <c:ser>
          <c:idx val="4"/>
          <c:order val="4"/>
          <c:spPr>
            <a:ln w="28575" cap="rnd">
              <a:solidFill>
                <a:schemeClr val="accent5"/>
              </a:solidFill>
              <a:round/>
            </a:ln>
            <a:effectLst/>
          </c:spPr>
          <c:marker>
            <c:symbol val="none"/>
          </c:marker>
          <c:val>
            <c:numRef>
              <c:f>RES!$J$125:$AP$125</c:f>
              <c:numCache>
                <c:formatCode>0.000</c:formatCode>
                <c:ptCount val="33"/>
                <c:pt idx="0" formatCode="0.00">
                  <c:v>0.56043977372187515</c:v>
                </c:pt>
                <c:pt idx="1">
                  <c:v>1.8567305480628324</c:v>
                </c:pt>
                <c:pt idx="2">
                  <c:v>3.1530213224037897</c:v>
                </c:pt>
                <c:pt idx="3">
                  <c:v>4.4493120967447473</c:v>
                </c:pt>
                <c:pt idx="4">
                  <c:v>5.7456028710857048</c:v>
                </c:pt>
                <c:pt idx="5">
                  <c:v>7.0418936454266614</c:v>
                </c:pt>
                <c:pt idx="6">
                  <c:v>7.2656515683060787</c:v>
                </c:pt>
                <c:pt idx="7">
                  <c:v>7.3664515665702934</c:v>
                </c:pt>
                <c:pt idx="8">
                  <c:v>6.6807017635619337</c:v>
                </c:pt>
                <c:pt idx="9">
                  <c:v>6.8545150657983784</c:v>
                </c:pt>
                <c:pt idx="10">
                  <c:v>7.0767768873064867</c:v>
                </c:pt>
                <c:pt idx="11">
                  <c:v>7.3144831342430319</c:v>
                </c:pt>
                <c:pt idx="12">
                  <c:v>7.5436974984961633</c:v>
                </c:pt>
                <c:pt idx="13">
                  <c:v>7.7655969863887009</c:v>
                </c:pt>
                <c:pt idx="14">
                  <c:v>8.0602527408175089</c:v>
                </c:pt>
                <c:pt idx="15">
                  <c:v>8.3508049114427578</c:v>
                </c:pt>
                <c:pt idx="16">
                  <c:v>8.6533902978026855</c:v>
                </c:pt>
                <c:pt idx="17">
                  <c:v>8.9953914702222058</c:v>
                </c:pt>
                <c:pt idx="18">
                  <c:v>9.2973333165898815</c:v>
                </c:pt>
                <c:pt idx="19">
                  <c:v>9.6358608501794052</c:v>
                </c:pt>
                <c:pt idx="20">
                  <c:v>9.9338816240868475</c:v>
                </c:pt>
                <c:pt idx="21">
                  <c:v>10.262265073773332</c:v>
                </c:pt>
                <c:pt idx="22">
                  <c:v>10.610110615003331</c:v>
                </c:pt>
                <c:pt idx="23">
                  <c:v>10.975970452346909</c:v>
                </c:pt>
                <c:pt idx="24">
                  <c:v>11.318941892372358</c:v>
                </c:pt>
                <c:pt idx="25">
                  <c:v>11.660392232810251</c:v>
                </c:pt>
                <c:pt idx="26">
                  <c:v>11.988790934972741</c:v>
                </c:pt>
                <c:pt idx="27">
                  <c:v>12.316900986091033</c:v>
                </c:pt>
                <c:pt idx="28">
                  <c:v>12.650408437164531</c:v>
                </c:pt>
                <c:pt idx="29">
                  <c:v>14.371039320498056</c:v>
                </c:pt>
                <c:pt idx="30">
                  <c:v>15.929069529096061</c:v>
                </c:pt>
                <c:pt idx="31">
                  <c:v>15.929069529096061</c:v>
                </c:pt>
                <c:pt idx="32">
                  <c:v>15.929069529096061</c:v>
                </c:pt>
              </c:numCache>
            </c:numRef>
          </c:val>
          <c:smooth val="0"/>
          <c:extLst>
            <c:ext xmlns:c16="http://schemas.microsoft.com/office/drawing/2014/chart" uri="{C3380CC4-5D6E-409C-BE32-E72D297353CC}">
              <c16:uniqueId val="{00000004-FCE1-4578-8869-E1D0DCE86E50}"/>
            </c:ext>
          </c:extLst>
        </c:ser>
        <c:ser>
          <c:idx val="5"/>
          <c:order val="5"/>
          <c:spPr>
            <a:ln w="28575" cap="rnd">
              <a:solidFill>
                <a:schemeClr val="accent6"/>
              </a:solidFill>
              <a:round/>
            </a:ln>
            <a:effectLst/>
          </c:spPr>
          <c:marker>
            <c:symbol val="none"/>
          </c:marker>
          <c:val>
            <c:numRef>
              <c:f>RES!$J$126:$AP$126</c:f>
              <c:numCache>
                <c:formatCode>0.000</c:formatCode>
                <c:ptCount val="33"/>
                <c:pt idx="0" formatCode="0.00">
                  <c:v>5.223009778600523</c:v>
                </c:pt>
                <c:pt idx="1">
                  <c:v>5.3613760001895816</c:v>
                </c:pt>
                <c:pt idx="2">
                  <c:v>5.4997422217786411</c:v>
                </c:pt>
                <c:pt idx="3">
                  <c:v>5.6381084433676998</c:v>
                </c:pt>
                <c:pt idx="4">
                  <c:v>5.7764746649567593</c:v>
                </c:pt>
                <c:pt idx="5">
                  <c:v>5.914840886545818</c:v>
                </c:pt>
                <c:pt idx="6">
                  <c:v>6.1027864275574011</c:v>
                </c:pt>
                <c:pt idx="7">
                  <c:v>6.1874534192953599</c:v>
                </c:pt>
                <c:pt idx="8">
                  <c:v>5.6114576464241228</c:v>
                </c:pt>
                <c:pt idx="9">
                  <c:v>5.7574521868786421</c:v>
                </c:pt>
                <c:pt idx="10">
                  <c:v>5.9441410770506913</c:v>
                </c:pt>
                <c:pt idx="11">
                  <c:v>6.143802517447587</c:v>
                </c:pt>
                <c:pt idx="12">
                  <c:v>6.3363311981879624</c:v>
                </c:pt>
                <c:pt idx="13">
                  <c:v>6.5227157461202872</c:v>
                </c:pt>
                <c:pt idx="14">
                  <c:v>6.7702119440901898</c:v>
                </c:pt>
                <c:pt idx="15">
                  <c:v>7.0142613354928818</c:v>
                </c:pt>
                <c:pt idx="16">
                  <c:v>7.268418030414753</c:v>
                </c:pt>
                <c:pt idx="17">
                  <c:v>7.555682027817971</c:v>
                </c:pt>
                <c:pt idx="18">
                  <c:v>7.8092981811114157</c:v>
                </c:pt>
                <c:pt idx="19">
                  <c:v>8.0936444944354236</c:v>
                </c:pt>
                <c:pt idx="20">
                  <c:v>8.3439671416245904</c:v>
                </c:pt>
                <c:pt idx="21">
                  <c:v>8.6197929283335437</c:v>
                </c:pt>
                <c:pt idx="22">
                  <c:v>8.911965905243818</c:v>
                </c:pt>
                <c:pt idx="23">
                  <c:v>9.2192699961072471</c:v>
                </c:pt>
                <c:pt idx="24">
                  <c:v>9.507348970105598</c:v>
                </c:pt>
                <c:pt idx="25">
                  <c:v>9.794150296004446</c:v>
                </c:pt>
                <c:pt idx="26">
                  <c:v>10.069988894035642</c:v>
                </c:pt>
                <c:pt idx="27">
                  <c:v>10.345585039527206</c:v>
                </c:pt>
                <c:pt idx="28">
                  <c:v>10.625714732888639</c:v>
                </c:pt>
                <c:pt idx="29">
                  <c:v>12.070959209990928</c:v>
                </c:pt>
                <c:pt idx="30">
                  <c:v>13.379627196800694</c:v>
                </c:pt>
                <c:pt idx="31">
                  <c:v>13.379627196800694</c:v>
                </c:pt>
                <c:pt idx="32">
                  <c:v>13.379627196800694</c:v>
                </c:pt>
              </c:numCache>
            </c:numRef>
          </c:val>
          <c:smooth val="0"/>
          <c:extLst>
            <c:ext xmlns:c16="http://schemas.microsoft.com/office/drawing/2014/chart" uri="{C3380CC4-5D6E-409C-BE32-E72D297353CC}">
              <c16:uniqueId val="{00000005-FCE1-4578-8869-E1D0DCE86E50}"/>
            </c:ext>
          </c:extLst>
        </c:ser>
        <c:ser>
          <c:idx val="6"/>
          <c:order val="6"/>
          <c:spPr>
            <a:ln w="28575" cap="rnd">
              <a:solidFill>
                <a:schemeClr val="accent1">
                  <a:lumMod val="60000"/>
                </a:schemeClr>
              </a:solidFill>
              <a:round/>
            </a:ln>
            <a:effectLst/>
          </c:spPr>
          <c:marker>
            <c:symbol val="none"/>
          </c:marker>
          <c:val>
            <c:numRef>
              <c:f>RES!$J$127:$AP$127</c:f>
              <c:numCache>
                <c:formatCode>0.000</c:formatCode>
                <c:ptCount val="33"/>
                <c:pt idx="0" formatCode="0.00">
                  <c:v>11.690334156193106</c:v>
                </c:pt>
                <c:pt idx="1">
                  <c:v>12.00003056398719</c:v>
                </c:pt>
                <c:pt idx="2">
                  <c:v>12.309726971781274</c:v>
                </c:pt>
                <c:pt idx="3">
                  <c:v>12.619423379575359</c:v>
                </c:pt>
                <c:pt idx="4">
                  <c:v>12.929119787369443</c:v>
                </c:pt>
                <c:pt idx="5">
                  <c:v>13.238816195163526</c:v>
                </c:pt>
                <c:pt idx="6">
                  <c:v>13.65948287409527</c:v>
                </c:pt>
                <c:pt idx="7">
                  <c:v>13.848987674463762</c:v>
                </c:pt>
                <c:pt idx="8">
                  <c:v>12.559772577642002</c:v>
                </c:pt>
                <c:pt idx="9">
                  <c:v>12.886542971579594</c:v>
                </c:pt>
                <c:pt idx="10">
                  <c:v>13.304396968005552</c:v>
                </c:pt>
                <c:pt idx="11">
                  <c:v>13.751286607368232</c:v>
                </c:pt>
                <c:pt idx="12">
                  <c:v>14.182211439584242</c:v>
                </c:pt>
                <c:pt idx="13">
                  <c:v>14.599384245924208</c:v>
                </c:pt>
                <c:pt idx="14">
                  <c:v>15.153339413404428</c:v>
                </c:pt>
                <c:pt idx="15">
                  <c:v>15.699579810617983</c:v>
                </c:pt>
                <c:pt idx="16">
                  <c:v>16.268442749347997</c:v>
                </c:pt>
                <c:pt idx="17">
                  <c:v>16.911407680113879</c:v>
                </c:pt>
                <c:pt idx="18">
                  <c:v>17.479060758527812</c:v>
                </c:pt>
                <c:pt idx="19">
                  <c:v>18.115495220599584</c:v>
                </c:pt>
                <c:pt idx="20">
                  <c:v>18.675776651527382</c:v>
                </c:pt>
                <c:pt idx="21">
                  <c:v>19.293140154987352</c:v>
                </c:pt>
                <c:pt idx="22">
                  <c:v>19.947092545711381</c:v>
                </c:pt>
                <c:pt idx="23">
                  <c:v>20.634911956748592</c:v>
                </c:pt>
                <c:pt idx="24">
                  <c:v>21.279700998349114</c:v>
                </c:pt>
                <c:pt idx="25">
                  <c:v>21.921630360598005</c:v>
                </c:pt>
                <c:pt idx="26">
                  <c:v>22.539022538834466</c:v>
                </c:pt>
                <c:pt idx="27">
                  <c:v>23.155872050806554</c:v>
                </c:pt>
                <c:pt idx="28">
                  <c:v>23.7828687177254</c:v>
                </c:pt>
                <c:pt idx="29">
                  <c:v>27.017668496186726</c:v>
                </c:pt>
                <c:pt idx="30">
                  <c:v>29.946777709805293</c:v>
                </c:pt>
                <c:pt idx="31">
                  <c:v>29.946777709805293</c:v>
                </c:pt>
                <c:pt idx="32">
                  <c:v>29.946777709805293</c:v>
                </c:pt>
              </c:numCache>
            </c:numRef>
          </c:val>
          <c:smooth val="0"/>
          <c:extLst>
            <c:ext xmlns:c16="http://schemas.microsoft.com/office/drawing/2014/chart" uri="{C3380CC4-5D6E-409C-BE32-E72D297353CC}">
              <c16:uniqueId val="{00000006-FCE1-4578-8869-E1D0DCE86E50}"/>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5"/>
                <c:pt idx="0">
                  <c:v>26.164390783448656</c:v>
                </c:pt>
                <c:pt idx="1">
                  <c:v>26.379251330070801</c:v>
                </c:pt>
                <c:pt idx="2">
                  <c:v>26.321563508905001</c:v>
                </c:pt>
                <c:pt idx="3">
                  <c:v>26.360993218184007</c:v>
                </c:pt>
                <c:pt idx="4">
                  <c:v>26.55165611504972</c:v>
                </c:pt>
                <c:pt idx="5">
                  <c:v>26.578764727799523</c:v>
                </c:pt>
                <c:pt idx="6">
                  <c:v>26.623535799649542</c:v>
                </c:pt>
                <c:pt idx="7">
                  <c:v>26.911307025844376</c:v>
                </c:pt>
                <c:pt idx="8">
                  <c:v>28.111589337230718</c:v>
                </c:pt>
                <c:pt idx="9">
                  <c:v>29.277268001984922</c:v>
                </c:pt>
                <c:pt idx="10">
                  <c:v>29.225063761101811</c:v>
                </c:pt>
                <c:pt idx="11">
                  <c:v>29.174243991646591</c:v>
                </c:pt>
                <c:pt idx="12">
                  <c:v>29.116291351858223</c:v>
                </c:pt>
                <c:pt idx="13">
                  <c:v>29.081484310034714</c:v>
                </c:pt>
                <c:pt idx="14">
                  <c:v>28.888729098492881</c:v>
                </c:pt>
              </c:numCache>
            </c:numRef>
          </c:val>
          <c:smooth val="0"/>
          <c:extLst>
            <c:ext xmlns:c16="http://schemas.microsoft.com/office/drawing/2014/chart" uri="{C3380CC4-5D6E-409C-BE32-E72D297353CC}">
              <c16:uniqueId val="{00000000-E07A-4293-9E78-CEA5CA5FB5CD}"/>
            </c:ext>
          </c:extLst>
        </c:ser>
        <c:ser>
          <c:idx val="1"/>
          <c:order val="1"/>
          <c:spPr>
            <a:ln w="28575" cap="rnd">
              <a:solidFill>
                <a:schemeClr val="accent2"/>
              </a:solidFill>
              <a:round/>
            </a:ln>
            <a:effectLst/>
          </c:spPr>
          <c:marker>
            <c:symbol val="none"/>
          </c:marker>
          <c:val>
            <c:numRef>
              <c:f>RES!$J$23:$X$23</c:f>
              <c:numCache>
                <c:formatCode>0.0</c:formatCode>
                <c:ptCount val="15"/>
                <c:pt idx="0">
                  <c:v>15.698634470069196</c:v>
                </c:pt>
                <c:pt idx="1">
                  <c:v>15.74245680105571</c:v>
                </c:pt>
                <c:pt idx="2">
                  <c:v>16.168259366046819</c:v>
                </c:pt>
                <c:pt idx="3">
                  <c:v>16.60012737178209</c:v>
                </c:pt>
                <c:pt idx="4">
                  <c:v>16.976763654970718</c:v>
                </c:pt>
                <c:pt idx="5">
                  <c:v>17.298814732088275</c:v>
                </c:pt>
                <c:pt idx="6">
                  <c:v>17.766318277795556</c:v>
                </c:pt>
                <c:pt idx="7">
                  <c:v>18.226385675800731</c:v>
                </c:pt>
                <c:pt idx="8">
                  <c:v>19.201285369797056</c:v>
                </c:pt>
                <c:pt idx="9">
                  <c:v>18.406399362296234</c:v>
                </c:pt>
                <c:pt idx="10">
                  <c:v>18.750265400079719</c:v>
                </c:pt>
                <c:pt idx="11">
                  <c:v>19.072968531164133</c:v>
                </c:pt>
                <c:pt idx="12">
                  <c:v>19.426097520426012</c:v>
                </c:pt>
                <c:pt idx="13">
                  <c:v>19.777353108177905</c:v>
                </c:pt>
                <c:pt idx="14">
                  <c:v>20.059410117564614</c:v>
                </c:pt>
              </c:numCache>
            </c:numRef>
          </c:val>
          <c:smooth val="0"/>
          <c:extLst>
            <c:ext xmlns:c16="http://schemas.microsoft.com/office/drawing/2014/chart" uri="{C3380CC4-5D6E-409C-BE32-E72D297353CC}">
              <c16:uniqueId val="{00000001-E07A-4293-9E78-CEA5CA5FB5CD}"/>
            </c:ext>
          </c:extLst>
        </c:ser>
        <c:ser>
          <c:idx val="2"/>
          <c:order val="2"/>
          <c:spPr>
            <a:ln w="28575" cap="rnd">
              <a:solidFill>
                <a:schemeClr val="accent3"/>
              </a:solidFill>
              <a:round/>
            </a:ln>
            <a:effectLst/>
          </c:spPr>
          <c:marker>
            <c:symbol val="none"/>
          </c:marker>
          <c:val>
            <c:numRef>
              <c:f>RES!$J$24:$X$24</c:f>
              <c:numCache>
                <c:formatCode>0.0</c:formatCode>
                <c:ptCount val="15"/>
                <c:pt idx="0">
                  <c:v>10.46240762855223</c:v>
                </c:pt>
                <c:pt idx="1">
                  <c:v>10.98267832729683</c:v>
                </c:pt>
                <c:pt idx="2">
                  <c:v>11.422542816477451</c:v>
                </c:pt>
                <c:pt idx="3">
                  <c:v>11.789370867355018</c:v>
                </c:pt>
                <c:pt idx="4">
                  <c:v>12.091520699804388</c:v>
                </c:pt>
                <c:pt idx="5">
                  <c:v>12.644368581760297</c:v>
                </c:pt>
                <c:pt idx="6">
                  <c:v>13.046146539854554</c:v>
                </c:pt>
                <c:pt idx="7">
                  <c:v>13.227142220174334</c:v>
                </c:pt>
                <c:pt idx="8">
                  <c:v>11.995815292972233</c:v>
                </c:pt>
                <c:pt idx="9">
                  <c:v>12.307913084923102</c:v>
                </c:pt>
                <c:pt idx="10">
                  <c:v>12.707004655217851</c:v>
                </c:pt>
                <c:pt idx="11">
                  <c:v>13.133828113763638</c:v>
                </c:pt>
                <c:pt idx="12">
                  <c:v>13.545403614869469</c:v>
                </c:pt>
                <c:pt idx="13">
                  <c:v>13.94384458178741</c:v>
                </c:pt>
                <c:pt idx="14">
                  <c:v>14.472926125947646</c:v>
                </c:pt>
              </c:numCache>
            </c:numRef>
          </c:val>
          <c:smooth val="0"/>
          <c:extLst>
            <c:ext xmlns:c16="http://schemas.microsoft.com/office/drawing/2014/chart" uri="{C3380CC4-5D6E-409C-BE32-E72D297353CC}">
              <c16:uniqueId val="{00000002-E07A-4293-9E78-CEA5CA5FB5CD}"/>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1.8300629745317494</c:v>
                </c:pt>
                <c:pt idx="7">
                  <c:v>3.7845352455565084</c:v>
                </c:pt>
                <c:pt idx="8">
                  <c:v>4.8972658577883088</c:v>
                </c:pt>
                <c:pt idx="9">
                  <c:v>7.1739801937789451</c:v>
                </c:pt>
                <c:pt idx="10">
                  <c:v>9.4217756264642922</c:v>
                </c:pt>
                <c:pt idx="11">
                  <c:v>11.651609930900069</c:v>
                </c:pt>
                <c:pt idx="12">
                  <c:v>13.847239407369514</c:v>
                </c:pt>
                <c:pt idx="13">
                  <c:v>16.07272794248329</c:v>
                </c:pt>
                <c:pt idx="14">
                  <c:v>18.477419382150376</c:v>
                </c:pt>
                <c:pt idx="15">
                  <c:v>20.853434005163518</c:v>
                </c:pt>
                <c:pt idx="16">
                  <c:v>23.272207435330227</c:v>
                </c:pt>
                <c:pt idx="17">
                  <c:v>25.7178529485784</c:v>
                </c:pt>
                <c:pt idx="18">
                  <c:v>28.186694825727532</c:v>
                </c:pt>
                <c:pt idx="19">
                  <c:v>28.186694825727532</c:v>
                </c:pt>
                <c:pt idx="20">
                  <c:v>28.186694825727532</c:v>
                </c:pt>
                <c:pt idx="21">
                  <c:v>28.186694825727532</c:v>
                </c:pt>
                <c:pt idx="22">
                  <c:v>28.186694825727532</c:v>
                </c:pt>
                <c:pt idx="23">
                  <c:v>28.186694825727532</c:v>
                </c:pt>
                <c:pt idx="24">
                  <c:v>28.186694825727532</c:v>
                </c:pt>
                <c:pt idx="25">
                  <c:v>28.186694825727532</c:v>
                </c:pt>
                <c:pt idx="26">
                  <c:v>28.186694825727532</c:v>
                </c:pt>
                <c:pt idx="27">
                  <c:v>28.186694825727532</c:v>
                </c:pt>
                <c:pt idx="28">
                  <c:v>28.186694825727532</c:v>
                </c:pt>
                <c:pt idx="29">
                  <c:v>28.186694825727532</c:v>
                </c:pt>
                <c:pt idx="30">
                  <c:v>28.186694825727532</c:v>
                </c:pt>
                <c:pt idx="31">
                  <c:v>28.186694825727532</c:v>
                </c:pt>
                <c:pt idx="32">
                  <c:v>28.186694825727532</c:v>
                </c:pt>
                <c:pt idx="33">
                  <c:v>28.186694825727532</c:v>
                </c:pt>
                <c:pt idx="34">
                  <c:v>28.186694825727532</c:v>
                </c:pt>
                <c:pt idx="35">
                  <c:v>28.186694825727532</c:v>
                </c:pt>
                <c:pt idx="36">
                  <c:v>28.186694825727532</c:v>
                </c:pt>
                <c:pt idx="37">
                  <c:v>28.186694825727532</c:v>
                </c:pt>
                <c:pt idx="38">
                  <c:v>28.186694825727532</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2.6705955667718371</c:v>
                </c:pt>
                <c:pt idx="20">
                  <c:v>5.294373207953587</c:v>
                </c:pt>
                <c:pt idx="21">
                  <c:v>8.0361634469374899</c:v>
                </c:pt>
                <c:pt idx="22">
                  <c:v>10.869252086750908</c:v>
                </c:pt>
                <c:pt idx="23">
                  <c:v>13.78382234368144</c:v>
                </c:pt>
                <c:pt idx="24">
                  <c:v>16.751984166996497</c:v>
                </c:pt>
                <c:pt idx="25">
                  <c:v>19.764263898329677</c:v>
                </c:pt>
                <c:pt idx="26">
                  <c:v>22.77828977703685</c:v>
                </c:pt>
                <c:pt idx="27">
                  <c:v>25.838657946208269</c:v>
                </c:pt>
                <c:pt idx="28">
                  <c:v>28.984564843629027</c:v>
                </c:pt>
                <c:pt idx="29">
                  <c:v>28.984564843629027</c:v>
                </c:pt>
                <c:pt idx="30">
                  <c:v>28.984564843629027</c:v>
                </c:pt>
                <c:pt idx="31">
                  <c:v>28.984564843629027</c:v>
                </c:pt>
                <c:pt idx="32">
                  <c:v>28.984564843629027</c:v>
                </c:pt>
                <c:pt idx="33">
                  <c:v>28.984564843629027</c:v>
                </c:pt>
                <c:pt idx="34">
                  <c:v>28.984564843629027</c:v>
                </c:pt>
                <c:pt idx="35">
                  <c:v>28.984564843629027</c:v>
                </c:pt>
                <c:pt idx="36">
                  <c:v>28.984564843629027</c:v>
                </c:pt>
                <c:pt idx="37">
                  <c:v>28.984564843629027</c:v>
                </c:pt>
                <c:pt idx="38">
                  <c:v>28.984564843629027</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3.3823221444827354</c:v>
                </c:pt>
                <c:pt idx="30">
                  <c:v>6.7209075620425196</c:v>
                </c:pt>
                <c:pt idx="31">
                  <c:v>10.018033934151433</c:v>
                </c:pt>
                <c:pt idx="32">
                  <c:v>13.275790442122599</c:v>
                </c:pt>
                <c:pt idx="33">
                  <c:v>16.496098788315933</c:v>
                </c:pt>
                <c:pt idx="34">
                  <c:v>20.201001463203923</c:v>
                </c:pt>
                <c:pt idx="35">
                  <c:v>23.853018544635475</c:v>
                </c:pt>
                <c:pt idx="36">
                  <c:v>27.455060126939586</c:v>
                </c:pt>
                <c:pt idx="37">
                  <c:v>31.009782292913727</c:v>
                </c:pt>
                <c:pt idx="38">
                  <c:v>34.689069654051693</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1.5826011087333609</c:v>
                </c:pt>
                <c:pt idx="7">
                  <c:v>3.2727888378763019</c:v>
                </c:pt>
                <c:pt idx="8">
                  <c:v>4.2350555604682834</c:v>
                </c:pt>
                <c:pt idx="9">
                  <c:v>6.2039116504232403</c:v>
                </c:pt>
                <c:pt idx="10">
                  <c:v>8.1477592630354909</c:v>
                </c:pt>
                <c:pt idx="11">
                  <c:v>10.076074458524694</c:v>
                </c:pt>
                <c:pt idx="12">
                  <c:v>11.974810016910205</c:v>
                </c:pt>
                <c:pt idx="13">
                  <c:v>13.899367079787028</c:v>
                </c:pt>
                <c:pt idx="14">
                  <c:v>15.97889515698475</c:v>
                </c:pt>
                <c:pt idx="15">
                  <c:v>18.03362410843485</c:v>
                </c:pt>
                <c:pt idx="16">
                  <c:v>20.125330003602787</c:v>
                </c:pt>
                <c:pt idx="17">
                  <c:v>22.240274327759533</c:v>
                </c:pt>
                <c:pt idx="18">
                  <c:v>24.375278393979318</c:v>
                </c:pt>
                <c:pt idx="19">
                  <c:v>26.661660167793737</c:v>
                </c:pt>
                <c:pt idx="20">
                  <c:v>28.907959626978101</c:v>
                </c:pt>
                <c:pt idx="21">
                  <c:v>31.255293423241625</c:v>
                </c:pt>
                <c:pt idx="22">
                  <c:v>33.680790683203</c:v>
                </c:pt>
                <c:pt idx="23">
                  <c:v>36.176046946210533</c:v>
                </c:pt>
                <c:pt idx="24">
                  <c:v>38.717184653093838</c:v>
                </c:pt>
                <c:pt idx="25">
                  <c:v>41.296093103719301</c:v>
                </c:pt>
                <c:pt idx="26">
                  <c:v>43.876496486628767</c:v>
                </c:pt>
                <c:pt idx="27">
                  <c:v>46.496574977814674</c:v>
                </c:pt>
                <c:pt idx="28">
                  <c:v>49.189885893879108</c:v>
                </c:pt>
                <c:pt idx="29">
                  <c:v>63.030263851651917</c:v>
                </c:pt>
                <c:pt idx="30">
                  <c:v>78.294333022653632</c:v>
                </c:pt>
                <c:pt idx="31" formatCode="0.00">
                  <c:v>78.294333022653632</c:v>
                </c:pt>
                <c:pt idx="32" formatCode="0.00">
                  <c:v>78.294333022653632</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0.15092687254753431</c:v>
                </c:pt>
                <c:pt idx="7">
                  <c:v>0.31211388712123755</c:v>
                </c:pt>
                <c:pt idx="8">
                  <c:v>0.40388174081218448</c:v>
                </c:pt>
                <c:pt idx="9">
                  <c:v>0.59164433652456594</c:v>
                </c:pt>
                <c:pt idx="10">
                  <c:v>0.77702196532918899</c:v>
                </c:pt>
                <c:pt idx="11">
                  <c:v>0.96091832438962399</c:v>
                </c:pt>
                <c:pt idx="12">
                  <c:v>1.1419937817746368</c:v>
                </c:pt>
                <c:pt idx="13">
                  <c:v>1.3255317414894152</c:v>
                </c:pt>
                <c:pt idx="14">
                  <c:v>1.5238487193648038</c:v>
                </c:pt>
                <c:pt idx="15">
                  <c:v>1.719800695427451</c:v>
                </c:pt>
                <c:pt idx="16">
                  <c:v>1.9192790272097433</c:v>
                </c:pt>
                <c:pt idx="17">
                  <c:v>2.1209735228698725</c:v>
                </c:pt>
                <c:pt idx="18">
                  <c:v>2.3245810426754905</c:v>
                </c:pt>
                <c:pt idx="19">
                  <c:v>2.5426249001372594</c:v>
                </c:pt>
                <c:pt idx="20">
                  <c:v>2.7568462540267777</c:v>
                </c:pt>
                <c:pt idx="21">
                  <c:v>2.9807028826744921</c:v>
                </c:pt>
                <c:pt idx="22">
                  <c:v>3.2120136746349321</c:v>
                </c:pt>
                <c:pt idx="23">
                  <c:v>3.4499771272713255</c:v>
                </c:pt>
                <c:pt idx="24">
                  <c:v>3.6923161252007954</c:v>
                </c:pt>
                <c:pt idx="25">
                  <c:v>3.9382571806514806</c:v>
                </c:pt>
                <c:pt idx="26">
                  <c:v>4.1843408023199267</c:v>
                </c:pt>
                <c:pt idx="27">
                  <c:v>4.4342080937817929</c:v>
                </c:pt>
                <c:pt idx="28">
                  <c:v>4.6910592934407376</c:v>
                </c:pt>
                <c:pt idx="29">
                  <c:v>6.0109654583709045</c:v>
                </c:pt>
                <c:pt idx="30">
                  <c:v>7.4666438410129734</c:v>
                </c:pt>
                <c:pt idx="31" formatCode="0.00">
                  <c:v>7.4666438410129734</c:v>
                </c:pt>
                <c:pt idx="32" formatCode="0.00">
                  <c:v>7.4666438410129734</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0.1128855701047503</c:v>
                </c:pt>
                <c:pt idx="7">
                  <c:v>0.23344520091472726</c:v>
                </c:pt>
                <c:pt idx="8">
                  <c:v>0.30208285507355981</c:v>
                </c:pt>
                <c:pt idx="9">
                  <c:v>0.44251965935878973</c:v>
                </c:pt>
                <c:pt idx="10">
                  <c:v>0.58117263055638668</c:v>
                </c:pt>
                <c:pt idx="11">
                  <c:v>0.71871768785681511</c:v>
                </c:pt>
                <c:pt idx="12">
                  <c:v>0.85415285519222628</c:v>
                </c:pt>
                <c:pt idx="13">
                  <c:v>0.99142984813952317</c:v>
                </c:pt>
                <c:pt idx="14">
                  <c:v>1.1397607896811868</c:v>
                </c:pt>
                <c:pt idx="15">
                  <c:v>1.2863228310036661</c:v>
                </c:pt>
                <c:pt idx="16">
                  <c:v>1.4355224057824816</c:v>
                </c:pt>
                <c:pt idx="17">
                  <c:v>1.5863795576287365</c:v>
                </c:pt>
                <c:pt idx="18">
                  <c:v>1.7386675535496259</c:v>
                </c:pt>
                <c:pt idx="19">
                  <c:v>1.9017531905998371</c:v>
                </c:pt>
                <c:pt idx="20">
                  <c:v>2.0619797907688264</c:v>
                </c:pt>
                <c:pt idx="21">
                  <c:v>2.2294130829326573</c:v>
                </c:pt>
                <c:pt idx="22">
                  <c:v>2.4024217074478953</c:v>
                </c:pt>
                <c:pt idx="23">
                  <c:v>2.5804061813956585</c:v>
                </c:pt>
                <c:pt idx="24">
                  <c:v>2.7616633391047092</c:v>
                </c:pt>
                <c:pt idx="25">
                  <c:v>2.94561465134018</c:v>
                </c:pt>
                <c:pt idx="26">
                  <c:v>3.1296725958042124</c:v>
                </c:pt>
                <c:pt idx="27">
                  <c:v>3.3165605314719908</c:v>
                </c:pt>
                <c:pt idx="28">
                  <c:v>3.5086720727514087</c:v>
                </c:pt>
                <c:pt idx="29">
                  <c:v>4.4958942777698656</c:v>
                </c:pt>
                <c:pt idx="30">
                  <c:v>5.5846671473061154</c:v>
                </c:pt>
                <c:pt idx="31" formatCode="0.00">
                  <c:v>5.5846671473061154</c:v>
                </c:pt>
                <c:pt idx="32" formatCode="0.00">
                  <c:v>5.5846671473061154</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1.3772283906971867</c:v>
                </c:pt>
                <c:pt idx="7">
                  <c:v>2.848081983139509</c:v>
                </c:pt>
                <c:pt idx="8">
                  <c:v>3.6854762213107977</c:v>
                </c:pt>
                <c:pt idx="9">
                  <c:v>5.3988356328009299</c:v>
                </c:pt>
                <c:pt idx="10">
                  <c:v>7.0904318944901314</c:v>
                </c:pt>
                <c:pt idx="11">
                  <c:v>8.7685113668127848</c:v>
                </c:pt>
                <c:pt idx="12">
                  <c:v>10.420849724851546</c:v>
                </c:pt>
                <c:pt idx="13">
                  <c:v>12.09565875404029</c:v>
                </c:pt>
                <c:pt idx="14">
                  <c:v>13.905328348838461</c:v>
                </c:pt>
                <c:pt idx="15">
                  <c:v>15.693416978063171</c:v>
                </c:pt>
                <c:pt idx="16">
                  <c:v>17.51368408638055</c:v>
                </c:pt>
                <c:pt idx="17">
                  <c:v>19.354173993722885</c:v>
                </c:pt>
                <c:pt idx="18">
                  <c:v>21.212120508498916</c:v>
                </c:pt>
                <c:pt idx="19">
                  <c:v>23.201800582330041</c:v>
                </c:pt>
                <c:pt idx="20">
                  <c:v>25.156599787337846</c:v>
                </c:pt>
                <c:pt idx="21">
                  <c:v>27.199322194656595</c:v>
                </c:pt>
                <c:pt idx="22">
                  <c:v>29.310064863509258</c:v>
                </c:pt>
                <c:pt idx="23">
                  <c:v>31.481513972520297</c:v>
                </c:pt>
                <c:pt idx="24">
                  <c:v>33.692890531830216</c:v>
                </c:pt>
                <c:pt idx="25">
                  <c:v>35.937136359544141</c:v>
                </c:pt>
                <c:pt idx="26">
                  <c:v>38.182683123528321</c:v>
                </c:pt>
                <c:pt idx="27">
                  <c:v>40.462756392783334</c:v>
                </c:pt>
                <c:pt idx="28">
                  <c:v>42.806558781211677</c:v>
                </c:pt>
                <c:pt idx="29">
                  <c:v>54.85088337838075</c:v>
                </c:pt>
                <c:pt idx="30">
                  <c:v>68.134148064511507</c:v>
                </c:pt>
                <c:pt idx="31" formatCode="0.00">
                  <c:v>68.134148064511507</c:v>
                </c:pt>
                <c:pt idx="32" formatCode="0.00">
                  <c:v>68.134148064511507</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0.3350302874487357</c:v>
                </c:pt>
                <c:pt idx="7">
                  <c:v>0.69283622958553637</c:v>
                </c:pt>
                <c:pt idx="8">
                  <c:v>0.89654422327597971</c:v>
                </c:pt>
                <c:pt idx="9">
                  <c:v>1.3133431362318395</c:v>
                </c:pt>
                <c:pt idx="10">
                  <c:v>1.724847855150714</c:v>
                </c:pt>
                <c:pt idx="11">
                  <c:v>2.1330644238561254</c:v>
                </c:pt>
                <c:pt idx="12">
                  <c:v>2.5350191023942732</c:v>
                </c:pt>
                <c:pt idx="13">
                  <c:v>2.9424400895457175</c:v>
                </c:pt>
                <c:pt idx="14">
                  <c:v>3.3826678169348883</c:v>
                </c:pt>
                <c:pt idx="15">
                  <c:v>3.8176456691774705</c:v>
                </c:pt>
                <c:pt idx="16">
                  <c:v>4.2604513916359892</c:v>
                </c:pt>
                <c:pt idx="17">
                  <c:v>4.7081765960163988</c:v>
                </c:pt>
                <c:pt idx="18">
                  <c:v>5.1601483670853066</c:v>
                </c:pt>
                <c:pt idx="19">
                  <c:v>5.6441661898149205</c:v>
                </c:pt>
                <c:pt idx="20">
                  <c:v>6.1196987478003031</c:v>
                </c:pt>
                <c:pt idx="21">
                  <c:v>6.6166198684544648</c:v>
                </c:pt>
                <c:pt idx="22">
                  <c:v>7.1300878798988387</c:v>
                </c:pt>
                <c:pt idx="23">
                  <c:v>7.6583235916270809</c:v>
                </c:pt>
                <c:pt idx="24">
                  <c:v>8.19627222042927</c:v>
                </c:pt>
                <c:pt idx="25">
                  <c:v>8.7422167637188526</c:v>
                </c:pt>
                <c:pt idx="26">
                  <c:v>9.2884777781584056</c:v>
                </c:pt>
                <c:pt idx="27">
                  <c:v>9.8431378533954437</c:v>
                </c:pt>
                <c:pt idx="28">
                  <c:v>10.413300938343664</c:v>
                </c:pt>
                <c:pt idx="29">
                  <c:v>13.343253268089573</c:v>
                </c:pt>
                <c:pt idx="30">
                  <c:v>16.574595299747212</c:v>
                </c:pt>
                <c:pt idx="31" formatCode="0.00">
                  <c:v>16.574595299747212</c:v>
                </c:pt>
                <c:pt idx="32" formatCode="0.00">
                  <c:v>16.574595299747212</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0.17464786244388691</c:v>
                </c:pt>
                <c:pt idx="7">
                  <c:v>0.36116844074675197</c:v>
                </c:pt>
                <c:pt idx="8">
                  <c:v>0.46735933450650663</c:v>
                </c:pt>
                <c:pt idx="9">
                  <c:v>0.6846323451677141</c:v>
                </c:pt>
                <c:pt idx="10">
                  <c:v>0.89914554662192836</c:v>
                </c:pt>
                <c:pt idx="11">
                  <c:v>1.1119446689982515</c:v>
                </c:pt>
                <c:pt idx="12">
                  <c:v>1.321479532071635</c:v>
                </c:pt>
                <c:pt idx="13">
                  <c:v>1.5338639259204025</c:v>
                </c:pt>
                <c:pt idx="14">
                  <c:v>1.7633501379358263</c:v>
                </c:pt>
                <c:pt idx="15">
                  <c:v>1.9900996437285645</c:v>
                </c:pt>
                <c:pt idx="16">
                  <c:v>2.2209297382081115</c:v>
                </c:pt>
                <c:pt idx="17">
                  <c:v>2.4543243083012873</c:v>
                </c:pt>
                <c:pt idx="18">
                  <c:v>2.689932570178927</c:v>
                </c:pt>
                <c:pt idx="19">
                  <c:v>2.9422461110476941</c:v>
                </c:pt>
                <c:pt idx="20">
                  <c:v>3.1901363701853209</c:v>
                </c:pt>
                <c:pt idx="21">
                  <c:v>3.4491762682982627</c:v>
                </c:pt>
                <c:pt idx="22">
                  <c:v>3.7168418913527006</c:v>
                </c:pt>
                <c:pt idx="23">
                  <c:v>3.992205765533714</c:v>
                </c:pt>
                <c:pt idx="24">
                  <c:v>4.2726328840499717</c:v>
                </c:pt>
                <c:pt idx="25">
                  <c:v>4.5572281910131345</c:v>
                </c:pt>
                <c:pt idx="26">
                  <c:v>4.8419884711501808</c:v>
                </c:pt>
                <c:pt idx="27">
                  <c:v>5.1311270957825483</c:v>
                </c:pt>
                <c:pt idx="28">
                  <c:v>5.428347280825836</c:v>
                </c:pt>
                <c:pt idx="29">
                  <c:v>6.9557014652767215</c:v>
                </c:pt>
                <c:pt idx="30">
                  <c:v>8.6401670189781807</c:v>
                </c:pt>
                <c:pt idx="31" formatCode="0.00">
                  <c:v>8.6401670189781807</c:v>
                </c:pt>
                <c:pt idx="32" formatCode="0.00">
                  <c:v>8.6401670189781807</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0.22366371570704255</c:v>
                </c:pt>
                <c:pt idx="7">
                  <c:v>0.46253228824653669</c:v>
                </c:pt>
                <c:pt idx="8">
                  <c:v>0.59852622221288887</c:v>
                </c:pt>
                <c:pt idx="9">
                  <c:v>0.87677806112649204</c:v>
                </c:pt>
                <c:pt idx="10">
                  <c:v>1.1514955356726129</c:v>
                </c:pt>
                <c:pt idx="11">
                  <c:v>1.4240178657136013</c:v>
                </c:pt>
                <c:pt idx="12">
                  <c:v>1.6923598046836066</c:v>
                </c:pt>
                <c:pt idx="13">
                  <c:v>1.9643510104257644</c:v>
                </c:pt>
                <c:pt idx="14">
                  <c:v>2.2582437507356836</c:v>
                </c:pt>
                <c:pt idx="15">
                  <c:v>2.5486317136380867</c:v>
                </c:pt>
                <c:pt idx="16">
                  <c:v>2.8442455041870032</c:v>
                </c:pt>
                <c:pt idx="17">
                  <c:v>3.1431435040961606</c:v>
                </c:pt>
                <c:pt idx="18">
                  <c:v>3.444876480185473</c:v>
                </c:pt>
                <c:pt idx="19">
                  <c:v>3.7680031608343176</c:v>
                </c:pt>
                <c:pt idx="20">
                  <c:v>4.0854651421632733</c:v>
                </c:pt>
                <c:pt idx="21">
                  <c:v>4.4172059680604656</c:v>
                </c:pt>
                <c:pt idx="22">
                  <c:v>4.7599933745689826</c:v>
                </c:pt>
                <c:pt idx="23">
                  <c:v>5.1126395874053987</c:v>
                </c:pt>
                <c:pt idx="24">
                  <c:v>5.4717700710808987</c:v>
                </c:pt>
                <c:pt idx="25">
                  <c:v>5.8362385675024857</c:v>
                </c:pt>
                <c:pt idx="26">
                  <c:v>6.2009183376983179</c:v>
                </c:pt>
                <c:pt idx="27">
                  <c:v>6.5712052581035252</c:v>
                </c:pt>
                <c:pt idx="28">
                  <c:v>6.9518418719142163</c:v>
                </c:pt>
                <c:pt idx="29">
                  <c:v>8.9078561472377569</c:v>
                </c:pt>
                <c:pt idx="30">
                  <c:v>11.065075934811379</c:v>
                </c:pt>
                <c:pt idx="31" formatCode="0.00">
                  <c:v>11.065075934811379</c:v>
                </c:pt>
                <c:pt idx="32" formatCode="0.00">
                  <c:v>11.065075934811379</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139.0913265289752</c:v>
                </c:pt>
                <c:pt idx="6">
                  <c:v>137.70041326368545</c:v>
                </c:pt>
                <c:pt idx="7">
                  <c:v>136.30949999839569</c:v>
                </c:pt>
                <c:pt idx="8">
                  <c:v>134.91858673310594</c:v>
                </c:pt>
                <c:pt idx="9">
                  <c:v>133.52767346781619</c:v>
                </c:pt>
                <c:pt idx="10">
                  <c:v>132.13676020252643</c:v>
                </c:pt>
                <c:pt idx="11">
                  <c:v>130.74584693723668</c:v>
                </c:pt>
                <c:pt idx="12">
                  <c:v>129.35493367194692</c:v>
                </c:pt>
                <c:pt idx="13">
                  <c:v>127.96402040665717</c:v>
                </c:pt>
                <c:pt idx="14">
                  <c:v>126.57310714136742</c:v>
                </c:pt>
                <c:pt idx="15">
                  <c:v>125.18219387607768</c:v>
                </c:pt>
                <c:pt idx="16">
                  <c:v>123.79128061078792</c:v>
                </c:pt>
                <c:pt idx="17">
                  <c:v>122.40036734549817</c:v>
                </c:pt>
                <c:pt idx="18">
                  <c:v>121.00945408020841</c:v>
                </c:pt>
                <c:pt idx="19">
                  <c:v>119.61854081491866</c:v>
                </c:pt>
                <c:pt idx="20">
                  <c:v>118.22762754962891</c:v>
                </c:pt>
                <c:pt idx="21">
                  <c:v>116.83671428433915</c:v>
                </c:pt>
                <c:pt idx="22">
                  <c:v>115.4458010190494</c:v>
                </c:pt>
                <c:pt idx="23">
                  <c:v>114.05488775375964</c:v>
                </c:pt>
                <c:pt idx="24">
                  <c:v>112.66397448846989</c:v>
                </c:pt>
                <c:pt idx="25">
                  <c:v>111.27306122318014</c:v>
                </c:pt>
                <c:pt idx="26">
                  <c:v>109.88214795789038</c:v>
                </c:pt>
                <c:pt idx="27">
                  <c:v>108.49123469260063</c:v>
                </c:pt>
                <c:pt idx="28">
                  <c:v>107.10032142731087</c:v>
                </c:pt>
                <c:pt idx="29">
                  <c:v>105.70940816202112</c:v>
                </c:pt>
                <c:pt idx="30">
                  <c:v>104.31849489673137</c:v>
                </c:pt>
                <c:pt idx="31">
                  <c:v>102.92758163144161</c:v>
                </c:pt>
                <c:pt idx="32">
                  <c:v>101.53666836615186</c:v>
                </c:pt>
                <c:pt idx="33">
                  <c:v>100.1457551008621</c:v>
                </c:pt>
                <c:pt idx="34">
                  <c:v>98.754841835572364</c:v>
                </c:pt>
                <c:pt idx="35">
                  <c:v>97.36392857028261</c:v>
                </c:pt>
                <c:pt idx="36">
                  <c:v>95.973015304992856</c:v>
                </c:pt>
                <c:pt idx="37">
                  <c:v>94.582102039703102</c:v>
                </c:pt>
                <c:pt idx="38">
                  <c:v>93.191188774413348</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2.2875787181646956</c:v>
                </c:pt>
                <c:pt idx="7">
                  <c:v>4.7306690569456293</c:v>
                </c:pt>
                <c:pt idx="8">
                  <c:v>6.1215823222353833</c:v>
                </c:pt>
                <c:pt idx="9">
                  <c:v>8.967475242223685</c:v>
                </c:pt>
                <c:pt idx="10">
                  <c:v>11.77721953308037</c:v>
                </c:pt>
                <c:pt idx="11">
                  <c:v>14.564512413625096</c:v>
                </c:pt>
                <c:pt idx="12">
                  <c:v>17.309049259211889</c:v>
                </c:pt>
                <c:pt idx="13">
                  <c:v>20.090909928104111</c:v>
                </c:pt>
                <c:pt idx="14">
                  <c:v>23.096774227687973</c:v>
                </c:pt>
                <c:pt idx="15">
                  <c:v>26.066792506454405</c:v>
                </c:pt>
                <c:pt idx="16">
                  <c:v>29.090259294162777</c:v>
                </c:pt>
                <c:pt idx="17">
                  <c:v>32.147316185723</c:v>
                </c:pt>
                <c:pt idx="18">
                  <c:v>35.233368532159417</c:v>
                </c:pt>
                <c:pt idx="19">
                  <c:v>38.571612990624217</c:v>
                </c:pt>
                <c:pt idx="20">
                  <c:v>41.851335042101411</c:v>
                </c:pt>
                <c:pt idx="21">
                  <c:v>45.278572840831274</c:v>
                </c:pt>
                <c:pt idx="22">
                  <c:v>48.819933640598052</c:v>
                </c:pt>
                <c:pt idx="23">
                  <c:v>52.463146461761212</c:v>
                </c:pt>
                <c:pt idx="24">
                  <c:v>56.173348740905041</c:v>
                </c:pt>
                <c:pt idx="25">
                  <c:v>59.93869840507152</c:v>
                </c:pt>
                <c:pt idx="26">
                  <c:v>63.706230753455472</c:v>
                </c:pt>
                <c:pt idx="27">
                  <c:v>67.531690964919747</c:v>
                </c:pt>
                <c:pt idx="28">
                  <c:v>71.464074586695702</c:v>
                </c:pt>
                <c:pt idx="29">
                  <c:v>75.691977267299123</c:v>
                </c:pt>
                <c:pt idx="30">
                  <c:v>79.865209039248853</c:v>
                </c:pt>
                <c:pt idx="31">
                  <c:v>83.986617004384996</c:v>
                </c:pt>
                <c:pt idx="32">
                  <c:v>88.058812639348943</c:v>
                </c:pt>
                <c:pt idx="33">
                  <c:v>92.084198072090615</c:v>
                </c:pt>
                <c:pt idx="34">
                  <c:v>96.715326415700616</c:v>
                </c:pt>
                <c:pt idx="35">
                  <c:v>101.28034776749004</c:v>
                </c:pt>
                <c:pt idx="36">
                  <c:v>105.78289974537017</c:v>
                </c:pt>
                <c:pt idx="37">
                  <c:v>110.22630245283787</c:v>
                </c:pt>
                <c:pt idx="38">
                  <c:v>114.82541165426031</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135.91206875329351</c:v>
                </c:pt>
                <c:pt idx="2">
                  <c:v>132.46001856592557</c:v>
                </c:pt>
                <c:pt idx="3">
                  <c:v>128.70532315183087</c:v>
                </c:pt>
                <c:pt idx="4">
                  <c:v>124.79103145901988</c:v>
                </c:pt>
                <c:pt idx="5">
                  <c:v>120.28334032399778</c:v>
                </c:pt>
                <c:pt idx="6">
                  <c:v>119.47615719794113</c:v>
                </c:pt>
                <c:pt idx="7">
                  <c:v>118.6958707269869</c:v>
                </c:pt>
                <c:pt idx="8">
                  <c:v>117.73360400439491</c:v>
                </c:pt>
                <c:pt idx="9">
                  <c:v>117.02298462364368</c:v>
                </c:pt>
                <c:pt idx="10">
                  <c:v>116.30611312355676</c:v>
                </c:pt>
                <c:pt idx="11">
                  <c:v>115.58535851918907</c:v>
                </c:pt>
                <c:pt idx="12">
                  <c:v>114.85720900554546</c:v>
                </c:pt>
                <c:pt idx="13">
                  <c:v>114.1355148680247</c:v>
                </c:pt>
                <c:pt idx="14">
                  <c:v>113.45256348408415</c:v>
                </c:pt>
                <c:pt idx="15">
                  <c:v>112.76341231870671</c:v>
                </c:pt>
                <c:pt idx="16">
                  <c:v>112.0835053892587</c:v>
                </c:pt>
                <c:pt idx="17">
                  <c:v>111.40940806705792</c:v>
                </c:pt>
                <c:pt idx="18">
                  <c:v>110.74032568037288</c:v>
                </c:pt>
                <c:pt idx="19">
                  <c:v>110.11486141193454</c:v>
                </c:pt>
                <c:pt idx="20">
                  <c:v>109.47927534687243</c:v>
                </c:pt>
                <c:pt idx="21">
                  <c:v>108.86920300329494</c:v>
                </c:pt>
                <c:pt idx="22">
                  <c:v>108.27886890812601</c:v>
                </c:pt>
                <c:pt idx="23">
                  <c:v>107.70615072281723</c:v>
                </c:pt>
                <c:pt idx="24">
                  <c:v>107.14501876070941</c:v>
                </c:pt>
                <c:pt idx="25">
                  <c:v>106.59342486520313</c:v>
                </c:pt>
                <c:pt idx="26">
                  <c:v>106.04220847784939</c:v>
                </c:pt>
                <c:pt idx="27">
                  <c:v>105.50101105723209</c:v>
                </c:pt>
                <c:pt idx="28">
                  <c:v>104.97830667320031</c:v>
                </c:pt>
                <c:pt idx="29">
                  <c:v>102.53051204356318</c:v>
                </c:pt>
                <c:pt idx="30">
                  <c:v>100.44957249876138</c:v>
                </c:pt>
                <c:pt idx="31" formatCode="0.00">
                  <c:v>100.44957249876138</c:v>
                </c:pt>
                <c:pt idx="32" formatCode="0.00">
                  <c:v>100.44957249876138</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8.5481458503642624</c:v>
                </c:pt>
                <c:pt idx="2">
                  <c:v>9.282962289600075</c:v>
                </c:pt>
                <c:pt idx="3">
                  <c:v>10.018335457385795</c:v>
                </c:pt>
                <c:pt idx="4">
                  <c:v>10.761970407471427</c:v>
                </c:pt>
                <c:pt idx="5">
                  <c:v>11.470981711368385</c:v>
                </c:pt>
                <c:pt idx="6">
                  <c:v>11.394003612391582</c:v>
                </c:pt>
                <c:pt idx="7">
                  <c:v>11.319590548921324</c:v>
                </c:pt>
                <c:pt idx="8">
                  <c:v>11.227822695230378</c:v>
                </c:pt>
                <c:pt idx="9">
                  <c:v>11.160053527044788</c:v>
                </c:pt>
                <c:pt idx="10">
                  <c:v>11.091688117132261</c:v>
                </c:pt>
                <c:pt idx="11">
                  <c:v>11.022952389783685</c:v>
                </c:pt>
                <c:pt idx="12">
                  <c:v>10.953511437016253</c:v>
                </c:pt>
                <c:pt idx="13">
                  <c:v>10.884686109831264</c:v>
                </c:pt>
                <c:pt idx="14">
                  <c:v>10.819555537186426</c:v>
                </c:pt>
                <c:pt idx="15">
                  <c:v>10.753833714088405</c:v>
                </c:pt>
                <c:pt idx="16">
                  <c:v>10.688993479920295</c:v>
                </c:pt>
                <c:pt idx="17">
                  <c:v>10.624707286721645</c:v>
                </c:pt>
                <c:pt idx="18">
                  <c:v>10.560899349559364</c:v>
                </c:pt>
                <c:pt idx="19">
                  <c:v>10.501251112612795</c:v>
                </c:pt>
                <c:pt idx="20">
                  <c:v>10.440637596986363</c:v>
                </c:pt>
                <c:pt idx="21">
                  <c:v>10.382457231551394</c:v>
                </c:pt>
                <c:pt idx="22">
                  <c:v>10.326159230589337</c:v>
                </c:pt>
                <c:pt idx="23">
                  <c:v>10.271541194444438</c:v>
                </c:pt>
                <c:pt idx="24">
                  <c:v>10.21802809397961</c:v>
                </c:pt>
                <c:pt idx="25">
                  <c:v>10.165424603999938</c:v>
                </c:pt>
                <c:pt idx="26">
                  <c:v>10.112857115590407</c:v>
                </c:pt>
                <c:pt idx="27">
                  <c:v>10.061245099350931</c:v>
                </c:pt>
                <c:pt idx="28">
                  <c:v>10.011396696292536</c:v>
                </c:pt>
                <c:pt idx="29">
                  <c:v>9.7779594858349625</c:v>
                </c:pt>
                <c:pt idx="30">
                  <c:v>9.5795079014627049</c:v>
                </c:pt>
                <c:pt idx="31" formatCode="0.00">
                  <c:v>9.5795079014627049</c:v>
                </c:pt>
                <c:pt idx="32" formatCode="0.00">
                  <c:v>9.5795079014627049</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9.639891973427412</c:v>
                </c:pt>
                <c:pt idx="2">
                  <c:v>9.4068236837096606</c:v>
                </c:pt>
                <c:pt idx="3">
                  <c:v>9.1525319237345215</c:v>
                </c:pt>
                <c:pt idx="4">
                  <c:v>8.8871468025102622</c:v>
                </c:pt>
                <c:pt idx="5">
                  <c:v>8.579706769854079</c:v>
                </c:pt>
                <c:pt idx="6">
                  <c:v>8.5221310946817272</c:v>
                </c:pt>
                <c:pt idx="7">
                  <c:v>8.4664739346856805</c:v>
                </c:pt>
                <c:pt idx="8">
                  <c:v>8.3978362805268461</c:v>
                </c:pt>
                <c:pt idx="9">
                  <c:v>8.3471484138996139</c:v>
                </c:pt>
                <c:pt idx="10">
                  <c:v>8.2960145890004728</c:v>
                </c:pt>
                <c:pt idx="11">
                  <c:v>8.2446037856270387</c:v>
                </c:pt>
                <c:pt idx="12">
                  <c:v>8.1926655097623495</c:v>
                </c:pt>
                <c:pt idx="13">
                  <c:v>8.1411876903006331</c:v>
                </c:pt>
                <c:pt idx="14">
                  <c:v>8.0924733579875081</c:v>
                </c:pt>
                <c:pt idx="15">
                  <c:v>8.0433168006195892</c:v>
                </c:pt>
                <c:pt idx="16">
                  <c:v>7.9948196266157501</c:v>
                </c:pt>
                <c:pt idx="17">
                  <c:v>7.9467368468787738</c:v>
                </c:pt>
                <c:pt idx="18">
                  <c:v>7.8990117781604559</c:v>
                </c:pt>
                <c:pt idx="19">
                  <c:v>7.8543979521412606</c:v>
                </c:pt>
                <c:pt idx="20">
                  <c:v>7.809062147111657</c:v>
                </c:pt>
                <c:pt idx="21">
                  <c:v>7.7655462137979203</c:v>
                </c:pt>
                <c:pt idx="22">
                  <c:v>7.7234381926941378</c:v>
                </c:pt>
                <c:pt idx="23">
                  <c:v>7.6825866992248288</c:v>
                </c:pt>
                <c:pt idx="24">
                  <c:v>7.6425616410487764</c:v>
                </c:pt>
                <c:pt idx="25">
                  <c:v>7.6032169249248494</c:v>
                </c:pt>
                <c:pt idx="26">
                  <c:v>7.5638991361313668</c:v>
                </c:pt>
                <c:pt idx="27">
                  <c:v>7.5252959915812552</c:v>
                </c:pt>
                <c:pt idx="28">
                  <c:v>7.4880119393573157</c:v>
                </c:pt>
                <c:pt idx="29">
                  <c:v>7.3134128627225916</c:v>
                </c:pt>
                <c:pt idx="30">
                  <c:v>7.1649812424158927</c:v>
                </c:pt>
                <c:pt idx="31" formatCode="0.00">
                  <c:v>7.1649812424158927</c:v>
                </c:pt>
                <c:pt idx="32" formatCode="0.00">
                  <c:v>7.1649812424158927</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118.27488221288776</c:v>
                </c:pt>
                <c:pt idx="2">
                  <c:v>115.2708014638481</c:v>
                </c:pt>
                <c:pt idx="3">
                  <c:v>112.00334948610346</c:v>
                </c:pt>
                <c:pt idx="4">
                  <c:v>108.59701189474154</c:v>
                </c:pt>
                <c:pt idx="5">
                  <c:v>104.67427977141128</c:v>
                </c:pt>
                <c:pt idx="6">
                  <c:v>103.97184407137146</c:v>
                </c:pt>
                <c:pt idx="7">
                  <c:v>103.29281467176793</c:v>
                </c:pt>
                <c:pt idx="8">
                  <c:v>102.45542043359663</c:v>
                </c:pt>
                <c:pt idx="9">
                  <c:v>101.83701748875505</c:v>
                </c:pt>
                <c:pt idx="10">
                  <c:v>101.21317375646325</c:v>
                </c:pt>
                <c:pt idx="11">
                  <c:v>100.58595082682979</c:v>
                </c:pt>
                <c:pt idx="12">
                  <c:v>99.95229261862535</c:v>
                </c:pt>
                <c:pt idx="13">
                  <c:v>99.324252078208431</c:v>
                </c:pt>
                <c:pt idx="14">
                  <c:v>98.729926679193866</c:v>
                </c:pt>
                <c:pt idx="15">
                  <c:v>98.130206038785943</c:v>
                </c:pt>
                <c:pt idx="16">
                  <c:v>97.538530018151164</c:v>
                </c:pt>
                <c:pt idx="17">
                  <c:v>96.951909697272654</c:v>
                </c:pt>
                <c:pt idx="18">
                  <c:v>96.369653528252542</c:v>
                </c:pt>
                <c:pt idx="19">
                  <c:v>95.825355193627104</c:v>
                </c:pt>
                <c:pt idx="20">
                  <c:v>95.272248558793734</c:v>
                </c:pt>
                <c:pt idx="21">
                  <c:v>94.741344752826762</c:v>
                </c:pt>
                <c:pt idx="22">
                  <c:v>94.227617780580516</c:v>
                </c:pt>
                <c:pt idx="23">
                  <c:v>93.72922071746514</c:v>
                </c:pt>
                <c:pt idx="24">
                  <c:v>93.240906343819177</c:v>
                </c:pt>
                <c:pt idx="25">
                  <c:v>92.760892290477273</c:v>
                </c:pt>
                <c:pt idx="26">
                  <c:v>92.281206756395534</c:v>
                </c:pt>
                <c:pt idx="27">
                  <c:v>91.810240036776122</c:v>
                </c:pt>
                <c:pt idx="28">
                  <c:v>91.355366529069158</c:v>
                </c:pt>
                <c:pt idx="29">
                  <c:v>89.22522000008658</c:v>
                </c:pt>
                <c:pt idx="30">
                  <c:v>87.414322102561869</c:v>
                </c:pt>
                <c:pt idx="31" formatCode="0.00">
                  <c:v>87.414322102561869</c:v>
                </c:pt>
                <c:pt idx="32" formatCode="0.00">
                  <c:v>87.414322102561869</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28.772038140812398</c:v>
                </c:pt>
                <c:pt idx="2">
                  <c:v>28.041253004760659</c:v>
                </c:pt>
                <c:pt idx="3">
                  <c:v>27.246399091841703</c:v>
                </c:pt>
                <c:pt idx="4">
                  <c:v>26.417759288821308</c:v>
                </c:pt>
                <c:pt idx="5">
                  <c:v>25.463499211305457</c:v>
                </c:pt>
                <c:pt idx="6">
                  <c:v>25.292621791054586</c:v>
                </c:pt>
                <c:pt idx="7">
                  <c:v>25.12743828447573</c:v>
                </c:pt>
                <c:pt idx="8">
                  <c:v>24.923730290785286</c:v>
                </c:pt>
                <c:pt idx="9">
                  <c:v>24.773295026911196</c:v>
                </c:pt>
                <c:pt idx="10">
                  <c:v>24.621536214527861</c:v>
                </c:pt>
                <c:pt idx="11">
                  <c:v>24.46895536459116</c:v>
                </c:pt>
                <c:pt idx="12">
                  <c:v>24.314809042112639</c:v>
                </c:pt>
                <c:pt idx="13">
                  <c:v>24.162029296787445</c:v>
                </c:pt>
                <c:pt idx="14">
                  <c:v>24.017451236521683</c:v>
                </c:pt>
                <c:pt idx="15">
                  <c:v>23.871560707469278</c:v>
                </c:pt>
                <c:pt idx="16">
                  <c:v>23.727627145970857</c:v>
                </c:pt>
                <c:pt idx="17">
                  <c:v>23.5849234549529</c:v>
                </c:pt>
                <c:pt idx="18">
                  <c:v>23.443281405607074</c:v>
                </c:pt>
                <c:pt idx="19">
                  <c:v>23.310873136405537</c:v>
                </c:pt>
                <c:pt idx="20">
                  <c:v>23.17632212358172</c:v>
                </c:pt>
                <c:pt idx="21">
                  <c:v>23.04717226294699</c:v>
                </c:pt>
                <c:pt idx="22">
                  <c:v>22.922200910087561</c:v>
                </c:pt>
                <c:pt idx="23">
                  <c:v>22.800958774471539</c:v>
                </c:pt>
                <c:pt idx="24">
                  <c:v>22.682169395692373</c:v>
                </c:pt>
                <c:pt idx="25">
                  <c:v>22.565399187238299</c:v>
                </c:pt>
                <c:pt idx="26">
                  <c:v>22.448708895741291</c:v>
                </c:pt>
                <c:pt idx="27">
                  <c:v>22.334139579193149</c:v>
                </c:pt>
                <c:pt idx="28">
                  <c:v>22.223485164087222</c:v>
                </c:pt>
                <c:pt idx="29">
                  <c:v>21.70529688919137</c:v>
                </c:pt>
                <c:pt idx="30">
                  <c:v>21.264770359789164</c:v>
                </c:pt>
                <c:pt idx="31" formatCode="0.00">
                  <c:v>21.264770359789164</c:v>
                </c:pt>
                <c:pt idx="32" formatCode="0.00">
                  <c:v>21.264770359789164</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10.373780123530006</c:v>
                </c:pt>
                <c:pt idx="2">
                  <c:v>11.107846566457823</c:v>
                </c:pt>
                <c:pt idx="3">
                  <c:v>11.839343352056451</c:v>
                </c:pt>
                <c:pt idx="4">
                  <c:v>12.577835119303142</c:v>
                </c:pt>
                <c:pt idx="5">
                  <c:v>13.273861719969343</c:v>
                </c:pt>
                <c:pt idx="6">
                  <c:v>13.184785068380622</c:v>
                </c:pt>
                <c:pt idx="7">
                  <c:v>13.098676595756643</c:v>
                </c:pt>
                <c:pt idx="8">
                  <c:v>12.992485701996889</c:v>
                </c:pt>
                <c:pt idx="9">
                  <c:v>12.914065337462496</c:v>
                </c:pt>
                <c:pt idx="10">
                  <c:v>12.834955020626357</c:v>
                </c:pt>
                <c:pt idx="11">
                  <c:v>12.755416184020746</c:v>
                </c:pt>
                <c:pt idx="12">
                  <c:v>12.675061282589395</c:v>
                </c:pt>
                <c:pt idx="13">
                  <c:v>12.595418763851894</c:v>
                </c:pt>
                <c:pt idx="14">
                  <c:v>12.520051699656058</c:v>
                </c:pt>
                <c:pt idx="15">
                  <c:v>12.444000458904551</c:v>
                </c:pt>
                <c:pt idx="16">
                  <c:v>12.368969365324741</c:v>
                </c:pt>
                <c:pt idx="17">
                  <c:v>12.294579390648343</c:v>
                </c:pt>
                <c:pt idx="18">
                  <c:v>12.220742838918058</c:v>
                </c:pt>
                <c:pt idx="19">
                  <c:v>12.151719762341791</c:v>
                </c:pt>
                <c:pt idx="20">
                  <c:v>12.081579695429379</c:v>
                </c:pt>
                <c:pt idx="21">
                  <c:v>12.014255193914769</c:v>
                </c:pt>
                <c:pt idx="22">
                  <c:v>11.949108905769227</c:v>
                </c:pt>
                <c:pt idx="23">
                  <c:v>11.885906620433426</c:v>
                </c:pt>
                <c:pt idx="24">
                  <c:v>11.823982932151978</c:v>
                </c:pt>
                <c:pt idx="25">
                  <c:v>11.76311181671066</c:v>
                </c:pt>
                <c:pt idx="26">
                  <c:v>11.702282361161735</c:v>
                </c:pt>
                <c:pt idx="27">
                  <c:v>11.642558548162135</c:v>
                </c:pt>
                <c:pt idx="28">
                  <c:v>11.5848755332461</c:v>
                </c:pt>
                <c:pt idx="29">
                  <c:v>11.314749285129224</c:v>
                </c:pt>
                <c:pt idx="30">
                  <c:v>11.085107310680298</c:v>
                </c:pt>
                <c:pt idx="31" formatCode="0.00">
                  <c:v>11.085107310680298</c:v>
                </c:pt>
                <c:pt idx="32" formatCode="0.00">
                  <c:v>11.085107310680298</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10.023810698880988</c:v>
                </c:pt>
                <c:pt idx="2">
                  <c:v>9.7692144888562282</c:v>
                </c:pt>
                <c:pt idx="3">
                  <c:v>9.4922975350634147</c:v>
                </c:pt>
                <c:pt idx="4">
                  <c:v>9.2036100085703758</c:v>
                </c:pt>
                <c:pt idx="5">
                  <c:v>8.8711579824850144</c:v>
                </c:pt>
                <c:pt idx="6">
                  <c:v>8.9283467453532221</c:v>
                </c:pt>
                <c:pt idx="7">
                  <c:v>8.995453942310931</c:v>
                </c:pt>
                <c:pt idx="8">
                  <c:v>8.995453942310931</c:v>
                </c:pt>
                <c:pt idx="9">
                  <c:v>9.0882516364607788</c:v>
                </c:pt>
                <c:pt idx="10">
                  <c:v>9.1787437936092946</c:v>
                </c:pt>
                <c:pt idx="11">
                  <c:v>9.2678040138227225</c:v>
                </c:pt>
                <c:pt idx="12">
                  <c:v>9.3541372808156904</c:v>
                </c:pt>
                <c:pt idx="13">
                  <c:v>9.4428510379608159</c:v>
                </c:pt>
                <c:pt idx="14">
                  <c:v>9.5458516068439963</c:v>
                </c:pt>
                <c:pt idx="15">
                  <c:v>9.6465659388952307</c:v>
                </c:pt>
                <c:pt idx="16">
                  <c:v>9.750689183483173</c:v>
                </c:pt>
                <c:pt idx="17">
                  <c:v>9.8569547839271863</c:v>
                </c:pt>
                <c:pt idx="18">
                  <c:v>9.9650696963836705</c:v>
                </c:pt>
                <c:pt idx="19">
                  <c:v>10.089269264322065</c:v>
                </c:pt>
                <c:pt idx="20">
                  <c:v>10.209736309673625</c:v>
                </c:pt>
                <c:pt idx="21">
                  <c:v>10.339611817302737</c:v>
                </c:pt>
                <c:pt idx="22">
                  <c:v>10.47676601870017</c:v>
                </c:pt>
                <c:pt idx="23">
                  <c:v>10.620416278444232</c:v>
                </c:pt>
                <c:pt idx="24">
                  <c:v>10.768339084002173</c:v>
                </c:pt>
                <c:pt idx="25">
                  <c:v>10.919779155352776</c:v>
                </c:pt>
                <c:pt idx="26">
                  <c:v>11.071358436940297</c:v>
                </c:pt>
                <c:pt idx="27">
                  <c:v>11.226632321475375</c:v>
                </c:pt>
                <c:pt idx="28">
                  <c:v>11.38872571437644</c:v>
                </c:pt>
                <c:pt idx="29">
                  <c:v>12.260306419665319</c:v>
                </c:pt>
                <c:pt idx="30">
                  <c:v>13.267168927300476</c:v>
                </c:pt>
                <c:pt idx="31" formatCode="0.00">
                  <c:v>13.267168927300476</c:v>
                </c:pt>
                <c:pt idx="32" formatCode="0.00">
                  <c:v>13.267168927300476</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3.4637231190911666</c:v>
                </c:pt>
                <c:pt idx="2">
                  <c:v>3.3757475172779561</c:v>
                </c:pt>
                <c:pt idx="3">
                  <c:v>3.2800589928500612</c:v>
                </c:pt>
                <c:pt idx="4">
                  <c:v>3.1803031525069465</c:v>
                </c:pt>
                <c:pt idx="5">
                  <c:v>3.0654245097100388</c:v>
                </c:pt>
                <c:pt idx="6">
                  <c:v>3.0851860600873766</c:v>
                </c:pt>
                <c:pt idx="7">
                  <c:v>3.1083749207455065</c:v>
                </c:pt>
                <c:pt idx="8">
                  <c:v>3.1083749207455065</c:v>
                </c:pt>
                <c:pt idx="9">
                  <c:v>3.14044112074478</c:v>
                </c:pt>
                <c:pt idx="10">
                  <c:v>3.1717106435068905</c:v>
                </c:pt>
                <c:pt idx="11">
                  <c:v>3.2024853611279087</c:v>
                </c:pt>
                <c:pt idx="12">
                  <c:v>3.2323177813334891</c:v>
                </c:pt>
                <c:pt idx="13">
                  <c:v>3.2629727788025966</c:v>
                </c:pt>
                <c:pt idx="14">
                  <c:v>3.2985645774146795</c:v>
                </c:pt>
                <c:pt idx="15">
                  <c:v>3.3333663679541425</c:v>
                </c:pt>
                <c:pt idx="16">
                  <c:v>3.3693461066331967</c:v>
                </c:pt>
                <c:pt idx="17">
                  <c:v>3.4060661353806592</c:v>
                </c:pt>
                <c:pt idx="18">
                  <c:v>3.4434251930328399</c:v>
                </c:pt>
                <c:pt idx="19">
                  <c:v>3.4863422958964625</c:v>
                </c:pt>
                <c:pt idx="20">
                  <c:v>3.5279696273183716</c:v>
                </c:pt>
                <c:pt idx="21">
                  <c:v>3.5728480484989391</c:v>
                </c:pt>
                <c:pt idx="22">
                  <c:v>3.6202416189215931</c:v>
                </c:pt>
                <c:pt idx="23">
                  <c:v>3.6698798992808292</c:v>
                </c:pt>
                <c:pt idx="24">
                  <c:v>3.7209945558564028</c:v>
                </c:pt>
                <c:pt idx="25">
                  <c:v>3.7733246019887052</c:v>
                </c:pt>
                <c:pt idx="26">
                  <c:v>3.8257027521535454</c:v>
                </c:pt>
                <c:pt idx="27">
                  <c:v>3.8793575706464041</c:v>
                </c:pt>
                <c:pt idx="28">
                  <c:v>3.9353688670794096</c:v>
                </c:pt>
                <c:pt idx="29">
                  <c:v>4.2365431739126276</c:v>
                </c:pt>
                <c:pt idx="30">
                  <c:v>4.5844640445483158</c:v>
                </c:pt>
                <c:pt idx="31" formatCode="0.00">
                  <c:v>4.5844640445483158</c:v>
                </c:pt>
                <c:pt idx="32" formatCode="0.00">
                  <c:v>4.5844640445483158</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18.418479080845469</c:v>
                </c:pt>
                <c:pt idx="2">
                  <c:v>18.120961991998936</c:v>
                </c:pt>
                <c:pt idx="3">
                  <c:v>17.785935979440417</c:v>
                </c:pt>
                <c:pt idx="4">
                  <c:v>17.432555568363497</c:v>
                </c:pt>
                <c:pt idx="5">
                  <c:v>16.999241745794041</c:v>
                </c:pt>
                <c:pt idx="6">
                  <c:v>16.885165257262866</c:v>
                </c:pt>
                <c:pt idx="7">
                  <c:v>16.774889982939797</c:v>
                </c:pt>
                <c:pt idx="8">
                  <c:v>16.638896048973443</c:v>
                </c:pt>
                <c:pt idx="9">
                  <c:v>16.538466591243903</c:v>
                </c:pt>
                <c:pt idx="10">
                  <c:v>16.437153542422493</c:v>
                </c:pt>
                <c:pt idx="11">
                  <c:v>16.335291707474802</c:v>
                </c:pt>
                <c:pt idx="12">
                  <c:v>16.23238477475936</c:v>
                </c:pt>
                <c:pt idx="13">
                  <c:v>16.130390158736962</c:v>
                </c:pt>
                <c:pt idx="14">
                  <c:v>16.033870926356499</c:v>
                </c:pt>
                <c:pt idx="15">
                  <c:v>15.93647549962416</c:v>
                </c:pt>
                <c:pt idx="16">
                  <c:v>15.840386529803448</c:v>
                </c:pt>
                <c:pt idx="17">
                  <c:v>15.745118612322797</c:v>
                </c:pt>
                <c:pt idx="18">
                  <c:v>15.650559438887184</c:v>
                </c:pt>
                <c:pt idx="19">
                  <c:v>15.56216466805774</c:v>
                </c:pt>
                <c:pt idx="20">
                  <c:v>15.472339417602061</c:v>
                </c:pt>
                <c:pt idx="21">
                  <c:v>15.386119935976746</c:v>
                </c:pt>
                <c:pt idx="22">
                  <c:v>15.302689994909844</c:v>
                </c:pt>
                <c:pt idx="23">
                  <c:v>15.221749651400494</c:v>
                </c:pt>
                <c:pt idx="24">
                  <c:v>15.142446750022225</c:v>
                </c:pt>
                <c:pt idx="25">
                  <c:v>15.064491831660645</c:v>
                </c:pt>
                <c:pt idx="26">
                  <c:v>14.986590265262256</c:v>
                </c:pt>
                <c:pt idx="27">
                  <c:v>14.910104645886436</c:v>
                </c:pt>
                <c:pt idx="28">
                  <c:v>14.836232585451398</c:v>
                </c:pt>
                <c:pt idx="29">
                  <c:v>14.490293966344428</c:v>
                </c:pt>
                <c:pt idx="30">
                  <c:v>14.196201748044011</c:v>
                </c:pt>
                <c:pt idx="31" formatCode="0.00">
                  <c:v>14.196201748044011</c:v>
                </c:pt>
                <c:pt idx="32" formatCode="0.00">
                  <c:v>14.196201748044011</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FTRA!$P$76:$AD$76</c:f>
              <c:numCache>
                <c:formatCode>0</c:formatCode>
                <c:ptCount val="15"/>
                <c:pt idx="0">
                  <c:v>17.976210697254331</c:v>
                </c:pt>
                <c:pt idx="1">
                  <c:v>18.474728708006445</c:v>
                </c:pt>
                <c:pt idx="2">
                  <c:v>17.381664585844597</c:v>
                </c:pt>
                <c:pt idx="3">
                  <c:v>17.672226072169018</c:v>
                </c:pt>
                <c:pt idx="4">
                  <c:v>20.48244861471408</c:v>
                </c:pt>
                <c:pt idx="5">
                  <c:v>25.633401816400347</c:v>
                </c:pt>
                <c:pt idx="6">
                  <c:v>33.146544753796483</c:v>
                </c:pt>
                <c:pt idx="8">
                  <c:v>17.976210697254331</c:v>
                </c:pt>
                <c:pt idx="9">
                  <c:v>18.474728708006445</c:v>
                </c:pt>
                <c:pt idx="10">
                  <c:v>17.381664585844597</c:v>
                </c:pt>
                <c:pt idx="11">
                  <c:v>17.672226072169018</c:v>
                </c:pt>
                <c:pt idx="12">
                  <c:v>20.48244861471408</c:v>
                </c:pt>
                <c:pt idx="13">
                  <c:v>25.633401816400347</c:v>
                </c:pt>
                <c:pt idx="14">
                  <c:v>33.146544753796483</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FTRA!$P$77:$AD$77</c:f>
              <c:numCache>
                <c:formatCode>0</c:formatCode>
                <c:ptCount val="15"/>
                <c:pt idx="0">
                  <c:v>5.1484632519767128</c:v>
                </c:pt>
                <c:pt idx="1">
                  <c:v>5.2912409319912115</c:v>
                </c:pt>
                <c:pt idx="2">
                  <c:v>4.9781827152301004</c:v>
                </c:pt>
                <c:pt idx="3">
                  <c:v>5.0618873580717327</c:v>
                </c:pt>
                <c:pt idx="4">
                  <c:v>5.8662604582991227</c:v>
                </c:pt>
                <c:pt idx="5">
                  <c:v>7.3415153781574052</c:v>
                </c:pt>
                <c:pt idx="6">
                  <c:v>9.4933114920036061</c:v>
                </c:pt>
                <c:pt idx="8">
                  <c:v>5.1484632519767128</c:v>
                </c:pt>
                <c:pt idx="9">
                  <c:v>5.2912409319912115</c:v>
                </c:pt>
                <c:pt idx="10">
                  <c:v>4.9781827152301004</c:v>
                </c:pt>
                <c:pt idx="11">
                  <c:v>5.0618873580717327</c:v>
                </c:pt>
                <c:pt idx="12">
                  <c:v>5.5729474353841661</c:v>
                </c:pt>
                <c:pt idx="13">
                  <c:v>6.6257176287870569</c:v>
                </c:pt>
                <c:pt idx="14">
                  <c:v>8.1393279404565906</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FTRA!$P$78:$AD$78</c:f>
              <c:numCache>
                <c:formatCode>0</c:formatCode>
                <c:ptCount val="15"/>
                <c:pt idx="0">
                  <c:v>1.7163196641541021</c:v>
                </c:pt>
                <c:pt idx="1">
                  <c:v>1.7639150720127121</c:v>
                </c:pt>
                <c:pt idx="2">
                  <c:v>1.6595540198565115</c:v>
                </c:pt>
                <c:pt idx="3">
                  <c:v>1.6874565944917681</c:v>
                </c:pt>
                <c:pt idx="4">
                  <c:v>1.9556084382583021</c:v>
                </c:pt>
                <c:pt idx="5">
                  <c:v>2.4474074284949929</c:v>
                </c:pt>
                <c:pt idx="6">
                  <c:v>3.1647418645573753</c:v>
                </c:pt>
                <c:pt idx="8">
                  <c:v>1.7163196641541021</c:v>
                </c:pt>
                <c:pt idx="9">
                  <c:v>1.7639150720127121</c:v>
                </c:pt>
                <c:pt idx="10">
                  <c:v>1.6595540198565115</c:v>
                </c:pt>
                <c:pt idx="11">
                  <c:v>1.6874565944917681</c:v>
                </c:pt>
                <c:pt idx="12">
                  <c:v>1.8578280163453871</c:v>
                </c:pt>
                <c:pt idx="13">
                  <c:v>2.2087852042167313</c:v>
                </c:pt>
                <c:pt idx="14">
                  <c:v>2.7133705561248793</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FTRA!$P$79:$AD$79</c:f>
              <c:numCache>
                <c:formatCode>0</c:formatCode>
                <c:ptCount val="15"/>
                <c:pt idx="0">
                  <c:v>14.22875652315842</c:v>
                </c:pt>
                <c:pt idx="1">
                  <c:v>14.623335391060838</c:v>
                </c:pt>
                <c:pt idx="2">
                  <c:v>13.758153902644418</c:v>
                </c:pt>
                <c:pt idx="3">
                  <c:v>13.989473830479653</c:v>
                </c:pt>
                <c:pt idx="4">
                  <c:v>16.212525500793355</c:v>
                </c:pt>
                <c:pt idx="5">
                  <c:v>20.289672804155337</c:v>
                </c:pt>
                <c:pt idx="6">
                  <c:v>26.236570255475549</c:v>
                </c:pt>
                <c:pt idx="8">
                  <c:v>14.22875652315842</c:v>
                </c:pt>
                <c:pt idx="9">
                  <c:v>14.623335391060838</c:v>
                </c:pt>
                <c:pt idx="10">
                  <c:v>13.758153902644418</c:v>
                </c:pt>
                <c:pt idx="11">
                  <c:v>13.989473830479653</c:v>
                </c:pt>
                <c:pt idx="12">
                  <c:v>15.401899225753688</c:v>
                </c:pt>
                <c:pt idx="13">
                  <c:v>18.311429705750189</c:v>
                </c:pt>
                <c:pt idx="14">
                  <c:v>22.494579422788345</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FTRA!$P$80:$AD$80</c:f>
              <c:numCache>
                <c:formatCode>0</c:formatCode>
                <c:ptCount val="15"/>
                <c:pt idx="0">
                  <c:v>4.7329719129281322</c:v>
                </c:pt>
                <c:pt idx="1">
                  <c:v>4.8642223631117147</c:v>
                </c:pt>
                <c:pt idx="2">
                  <c:v>4.5764333579660059</c:v>
                </c:pt>
                <c:pt idx="3">
                  <c:v>4.6533782912469155</c:v>
                </c:pt>
                <c:pt idx="4">
                  <c:v>5.3928414410631289</c:v>
                </c:pt>
                <c:pt idx="5">
                  <c:v>6.7490403218490576</c:v>
                </c:pt>
                <c:pt idx="6">
                  <c:v>8.7271821616051746</c:v>
                </c:pt>
                <c:pt idx="8">
                  <c:v>4.7329719129281322</c:v>
                </c:pt>
                <c:pt idx="9">
                  <c:v>4.8642223631117147</c:v>
                </c:pt>
                <c:pt idx="10">
                  <c:v>4.5764333579660059</c:v>
                </c:pt>
                <c:pt idx="11">
                  <c:v>4.6533782912469155</c:v>
                </c:pt>
                <c:pt idx="12">
                  <c:v>5.1231993690099724</c:v>
                </c:pt>
                <c:pt idx="13">
                  <c:v>6.0910088904687738</c:v>
                </c:pt>
                <c:pt idx="14">
                  <c:v>7.4824678058062357</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FTRA!$P$81:$AD$81</c:f>
              <c:numCache>
                <c:formatCode>0</c:formatCode>
                <c:ptCount val="15"/>
                <c:pt idx="0">
                  <c:v>3.1180001765104728</c:v>
                </c:pt>
                <c:pt idx="1">
                  <c:v>3.2044657069146676</c:v>
                </c:pt>
                <c:pt idx="2">
                  <c:v>3.0148752793038378</c:v>
                </c:pt>
                <c:pt idx="3">
                  <c:v>3.0655652728142861</c:v>
                </c:pt>
                <c:pt idx="4">
                  <c:v>3.552710828305977</c:v>
                </c:pt>
                <c:pt idx="5">
                  <c:v>4.4461512347709542</c:v>
                </c:pt>
                <c:pt idx="6">
                  <c:v>5.7493169241076743</c:v>
                </c:pt>
                <c:pt idx="8">
                  <c:v>3.1180001765104728</c:v>
                </c:pt>
                <c:pt idx="9">
                  <c:v>3.2044657069146676</c:v>
                </c:pt>
                <c:pt idx="10">
                  <c:v>3.0148752793038378</c:v>
                </c:pt>
                <c:pt idx="11">
                  <c:v>3.0655652728142861</c:v>
                </c:pt>
                <c:pt idx="12">
                  <c:v>3.3750752868906782</c:v>
                </c:pt>
                <c:pt idx="13">
                  <c:v>4.0126514893807856</c:v>
                </c:pt>
                <c:pt idx="14">
                  <c:v>4.9293205978068171</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FTRA!$P$82:$AD$82</c:f>
              <c:numCache>
                <c:formatCode>0</c:formatCode>
                <c:ptCount val="15"/>
                <c:pt idx="0">
                  <c:v>103.03413430720434</c:v>
                </c:pt>
                <c:pt idx="1">
                  <c:v>105.89138272550942</c:v>
                </c:pt>
                <c:pt idx="2">
                  <c:v>99.626378082797544</c:v>
                </c:pt>
                <c:pt idx="3">
                  <c:v>101.3014259672502</c:v>
                </c:pt>
                <c:pt idx="4">
                  <c:v>117.39912248754413</c:v>
                </c:pt>
                <c:pt idx="5">
                  <c:v>146.92280870433564</c:v>
                </c:pt>
                <c:pt idx="6">
                  <c:v>189.98584303999428</c:v>
                </c:pt>
                <c:pt idx="8">
                  <c:v>103.03413430720434</c:v>
                </c:pt>
                <c:pt idx="9">
                  <c:v>105.89138272550942</c:v>
                </c:pt>
                <c:pt idx="10">
                  <c:v>99.626378082797544</c:v>
                </c:pt>
                <c:pt idx="11">
                  <c:v>101.3014259672502</c:v>
                </c:pt>
                <c:pt idx="12">
                  <c:v>111.52916636316692</c:v>
                </c:pt>
                <c:pt idx="13">
                  <c:v>132.59783485566291</c:v>
                </c:pt>
                <c:pt idx="14">
                  <c:v>162.88911217641507</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FTRA!$P$83:$AD$83</c:f>
              <c:numCache>
                <c:formatCode>0</c:formatCode>
                <c:ptCount val="15"/>
                <c:pt idx="0">
                  <c:v>29.349067786255869</c:v>
                </c:pt>
                <c:pt idx="1">
                  <c:v>30.162949303045053</c:v>
                </c:pt>
                <c:pt idx="2">
                  <c:v>28.378375218189547</c:v>
                </c:pt>
                <c:pt idx="3">
                  <c:v>28.855509269313302</c:v>
                </c:pt>
                <c:pt idx="4">
                  <c:v>33.440906036641188</c:v>
                </c:pt>
                <c:pt idx="5">
                  <c:v>41.85066920787574</c:v>
                </c:pt>
                <c:pt idx="6">
                  <c:v>54.117088703679066</c:v>
                </c:pt>
                <c:pt idx="8">
                  <c:v>29.349067786255869</c:v>
                </c:pt>
                <c:pt idx="9">
                  <c:v>30.162949303045053</c:v>
                </c:pt>
                <c:pt idx="10">
                  <c:v>28.378375218189547</c:v>
                </c:pt>
                <c:pt idx="11">
                  <c:v>28.855509269313302</c:v>
                </c:pt>
                <c:pt idx="12">
                  <c:v>31.768860734809127</c:v>
                </c:pt>
                <c:pt idx="13">
                  <c:v>37.77022896010785</c:v>
                </c:pt>
                <c:pt idx="14">
                  <c:v>46.398638927316831</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FTRA!$P$84:$AD$84</c:f>
              <c:numCache>
                <c:formatCode>0</c:formatCode>
                <c:ptCount val="15"/>
                <c:pt idx="0">
                  <c:v>1.12804801559981</c:v>
                </c:pt>
                <c:pt idx="1">
                  <c:v>1.1593300119014898</c:v>
                </c:pt>
                <c:pt idx="2">
                  <c:v>1.0907388978745283</c:v>
                </c:pt>
                <c:pt idx="3">
                  <c:v>1.1090778149217437</c:v>
                </c:pt>
                <c:pt idx="4">
                  <c:v>1.2853201324560779</c:v>
                </c:pt>
                <c:pt idx="5">
                  <c:v>1.6085541351870973</c:v>
                </c:pt>
                <c:pt idx="6">
                  <c:v>2.0800209044735705</c:v>
                </c:pt>
                <c:pt idx="8">
                  <c:v>1.12804801559981</c:v>
                </c:pt>
                <c:pt idx="9">
                  <c:v>1.1593300119014898</c:v>
                </c:pt>
                <c:pt idx="10">
                  <c:v>1.0907388978745283</c:v>
                </c:pt>
                <c:pt idx="11">
                  <c:v>1.1090778149217437</c:v>
                </c:pt>
                <c:pt idx="12">
                  <c:v>1.2210541258332739</c:v>
                </c:pt>
                <c:pt idx="13">
                  <c:v>1.4517201070063552</c:v>
                </c:pt>
                <c:pt idx="14">
                  <c:v>1.7833579229730274</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FTRA!$P$85:$AD$85</c:f>
              <c:numCache>
                <c:formatCode>0</c:formatCode>
                <c:ptCount val="15"/>
                <c:pt idx="0">
                  <c:v>0.91769219759054577</c:v>
                </c:pt>
                <c:pt idx="1">
                  <c:v>0.94314079865549549</c:v>
                </c:pt>
                <c:pt idx="2">
                  <c:v>0.88734039894191019</c:v>
                </c:pt>
                <c:pt idx="3">
                  <c:v>0.9022595166157632</c:v>
                </c:pt>
                <c:pt idx="4">
                  <c:v>1.0456365692322114</c:v>
                </c:pt>
                <c:pt idx="5">
                  <c:v>1.3085946332508718</c:v>
                </c:pt>
                <c:pt idx="6">
                  <c:v>1.6921433560127854</c:v>
                </c:pt>
                <c:pt idx="8">
                  <c:v>0.91769219759054577</c:v>
                </c:pt>
                <c:pt idx="9">
                  <c:v>0.94314079865549549</c:v>
                </c:pt>
                <c:pt idx="10">
                  <c:v>0.88734039894191019</c:v>
                </c:pt>
                <c:pt idx="11">
                  <c:v>0.9022595166157632</c:v>
                </c:pt>
                <c:pt idx="12">
                  <c:v>0.99335474077060071</c:v>
                </c:pt>
                <c:pt idx="13">
                  <c:v>1.1810066565089117</c:v>
                </c:pt>
                <c:pt idx="14">
                  <c:v>1.4508014098614619</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FTRA!$P$86:$AD$86</c:f>
              <c:numCache>
                <c:formatCode>0</c:formatCode>
                <c:ptCount val="15"/>
                <c:pt idx="0">
                  <c:v>23.057336578097942</c:v>
                </c:pt>
                <c:pt idx="1">
                  <c:v>23.696741556953494</c:v>
                </c:pt>
                <c:pt idx="2">
                  <c:v>22.294737049596232</c:v>
                </c:pt>
                <c:pt idx="3">
                  <c:v>22.669585085307396</c:v>
                </c:pt>
                <c:pt idx="4">
                  <c:v>26.271983545742081</c:v>
                </c:pt>
                <c:pt idx="5">
                  <c:v>32.878896630458648</c:v>
                </c:pt>
                <c:pt idx="6">
                  <c:v>42.515692081090613</c:v>
                </c:pt>
                <c:pt idx="8">
                  <c:v>23.057336578097942</c:v>
                </c:pt>
                <c:pt idx="9">
                  <c:v>23.696741556953494</c:v>
                </c:pt>
                <c:pt idx="10">
                  <c:v>22.294737049596232</c:v>
                </c:pt>
                <c:pt idx="11">
                  <c:v>22.669585085307396</c:v>
                </c:pt>
                <c:pt idx="12">
                  <c:v>35.2862171174568</c:v>
                </c:pt>
                <c:pt idx="13">
                  <c:v>54.877129231275859</c:v>
                </c:pt>
                <c:pt idx="14">
                  <c:v>84.126950471903442</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FTRA!$P$87:$AD$87</c:f>
              <c:numCache>
                <c:formatCode>0</c:formatCode>
                <c:ptCount val="15"/>
                <c:pt idx="0">
                  <c:v>26.306324914102674</c:v>
                </c:pt>
                <c:pt idx="1">
                  <c:v>27.035854456631917</c:v>
                </c:pt>
                <c:pt idx="2">
                  <c:v>25.436268179312091</c:v>
                </c:pt>
                <c:pt idx="3">
                  <c:v>25.863961147804282</c:v>
                </c:pt>
                <c:pt idx="4">
                  <c:v>29.973944863551218</c:v>
                </c:pt>
                <c:pt idx="5">
                  <c:v>37.511832064750571</c:v>
                </c:pt>
                <c:pt idx="6">
                  <c:v>48.506539601607955</c:v>
                </c:pt>
                <c:pt idx="8">
                  <c:v>26.306324914102674</c:v>
                </c:pt>
                <c:pt idx="9">
                  <c:v>27.035854456631917</c:v>
                </c:pt>
                <c:pt idx="10">
                  <c:v>25.436268179312091</c:v>
                </c:pt>
                <c:pt idx="11">
                  <c:v>25.863961147804282</c:v>
                </c:pt>
                <c:pt idx="12">
                  <c:v>30.267257886466176</c:v>
                </c:pt>
                <c:pt idx="13">
                  <c:v>38.227629814120924</c:v>
                </c:pt>
                <c:pt idx="14">
                  <c:v>49.860523153154979</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FTRA!$P$88:$AD$88</c:f>
              <c:numCache>
                <c:formatCode>0</c:formatCode>
                <c:ptCount val="15"/>
                <c:pt idx="0">
                  <c:v>82</c:v>
                </c:pt>
                <c:pt idx="1">
                  <c:v>82</c:v>
                </c:pt>
                <c:pt idx="2">
                  <c:v>82</c:v>
                </c:pt>
                <c:pt idx="3">
                  <c:v>83.472345553875911</c:v>
                </c:pt>
                <c:pt idx="4">
                  <c:v>75.296230147600639</c:v>
                </c:pt>
                <c:pt idx="5">
                  <c:v>79.105852655656577</c:v>
                </c:pt>
                <c:pt idx="6">
                  <c:v>88.040877070249081</c:v>
                </c:pt>
                <c:pt idx="8">
                  <c:v>82</c:v>
                </c:pt>
                <c:pt idx="9">
                  <c:v>82</c:v>
                </c:pt>
                <c:pt idx="10">
                  <c:v>82</c:v>
                </c:pt>
                <c:pt idx="11">
                  <c:v>83.472345553875911</c:v>
                </c:pt>
                <c:pt idx="12">
                  <c:v>75.296230147600639</c:v>
                </c:pt>
                <c:pt idx="13">
                  <c:v>79.105852655656577</c:v>
                </c:pt>
                <c:pt idx="14">
                  <c:v>88.040877070249081</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FTRA!$AI$74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FTRA!$AI$77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(FTRA!$AJ$77:$AO$77,FTRA!$AP$77:$AT$77)</c15:sqref>
                  </c15:fullRef>
                </c:ext>
              </c:extLst>
              <c:f>(FTRA!$AK$77:$AO$77,FTRA!$AQ$77:$AT$77)</c:f>
              <c:numCache>
                <c:formatCode>0.00</c:formatCode>
                <c:ptCount val="9"/>
                <c:pt idx="0">
                  <c:v>152.99184915757431</c:v>
                </c:pt>
                <c:pt idx="1">
                  <c:v>180.28467143429438</c:v>
                </c:pt>
                <c:pt idx="2">
                  <c:v>225.62289846991968</c:v>
                </c:pt>
                <c:pt idx="3">
                  <c:v>291.75290720990546</c:v>
                </c:pt>
                <c:pt idx="5">
                  <c:v>152.99184915757431</c:v>
                </c:pt>
                <c:pt idx="6">
                  <c:v>180.28467143429438</c:v>
                </c:pt>
                <c:pt idx="7">
                  <c:v>225.62289846991968</c:v>
                </c:pt>
                <c:pt idx="8">
                  <c:v>291.75290720990546</c:v>
                </c:pt>
              </c:numCache>
            </c:numRef>
          </c:val>
          <c:extLst>
            <c:ext xmlns:c16="http://schemas.microsoft.com/office/drawing/2014/chart" uri="{C3380CC4-5D6E-409C-BE32-E72D297353CC}">
              <c16:uniqueId val="{00000000-CB39-4B29-8840-1732B392D50F}"/>
            </c:ext>
          </c:extLst>
        </c:ser>
        <c:ser>
          <c:idx val="1"/>
          <c:order val="1"/>
          <c:tx>
            <c:strRef>
              <c:f>FTRA!$AI$81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(FTRA!$AJ$78:$AO$78,FTRA!$AP$78:$AT$78)</c15:sqref>
                  </c15:fullRef>
                </c:ext>
              </c:extLst>
              <c:f>(FTRA!$AK$78:$AO$78,FTRA!$AQ$78:$AT$78)</c:f>
              <c:numCache>
                <c:formatCode>0.00</c:formatCode>
                <c:ptCount val="9"/>
                <c:pt idx="0">
                  <c:v>22.294737049596232</c:v>
                </c:pt>
                <c:pt idx="1">
                  <c:v>26.271983545742081</c:v>
                </c:pt>
                <c:pt idx="2">
                  <c:v>32.878896630458648</c:v>
                </c:pt>
                <c:pt idx="3">
                  <c:v>42.515692081090613</c:v>
                </c:pt>
                <c:pt idx="5">
                  <c:v>22.294737049596232</c:v>
                </c:pt>
                <c:pt idx="6">
                  <c:v>26.271983545742081</c:v>
                </c:pt>
                <c:pt idx="7">
                  <c:v>32.878896630458648</c:v>
                </c:pt>
                <c:pt idx="8">
                  <c:v>42.515692081090613</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FTRA!$AI$80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(FTRA!$AJ$80:$AO$80,FTRA!$AP$80:$AT$80)</c15:sqref>
                  </c15:fullRef>
                </c:ext>
              </c:extLst>
              <c:f>(FTRA!$AK$80:$AO$80,FTRA!$AQ$80:$AT$80)</c:f>
              <c:numCache>
                <c:formatCode>0.00</c:formatCode>
                <c:ptCount val="9"/>
                <c:pt idx="0">
                  <c:v>175.28658620717053</c:v>
                </c:pt>
                <c:pt idx="1">
                  <c:v>206.55665498003646</c:v>
                </c:pt>
                <c:pt idx="2">
                  <c:v>258.50179510037833</c:v>
                </c:pt>
                <c:pt idx="3">
                  <c:v>334.26859929099606</c:v>
                </c:pt>
                <c:pt idx="5">
                  <c:v>175.28658620717053</c:v>
                </c:pt>
                <c:pt idx="6">
                  <c:v>206.55665498003646</c:v>
                </c:pt>
                <c:pt idx="7">
                  <c:v>258.50179510037833</c:v>
                </c:pt>
                <c:pt idx="8">
                  <c:v>334.26859929099606</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FTRA!$J$137:$AP$137</c:f>
              <c:numCache>
                <c:formatCode>0.00</c:formatCode>
                <c:ptCount val="33"/>
                <c:pt idx="0">
                  <c:v>43.11250375056882</c:v>
                </c:pt>
                <c:pt idx="1">
                  <c:v>43.541669167045889</c:v>
                </c:pt>
                <c:pt idx="2">
                  <c:v>43.970834583522958</c:v>
                </c:pt>
                <c:pt idx="3">
                  <c:v>44.4</c:v>
                </c:pt>
                <c:pt idx="4">
                  <c:v>44.871410582810697</c:v>
                </c:pt>
                <c:pt idx="5">
                  <c:v>45.342821165621402</c:v>
                </c:pt>
                <c:pt idx="6">
                  <c:v>45.89020294658313</c:v>
                </c:pt>
                <c:pt idx="7">
                  <c:v>46.437584727544852</c:v>
                </c:pt>
                <c:pt idx="8">
                  <c:v>43.690087939484705</c:v>
                </c:pt>
                <c:pt idx="9">
                  <c:v>44.420435532296942</c:v>
                </c:pt>
                <c:pt idx="10">
                  <c:v>45.205291125429042</c:v>
                </c:pt>
                <c:pt idx="11">
                  <c:v>45.990146718561142</c:v>
                </c:pt>
                <c:pt idx="12">
                  <c:v>46.775002311693243</c:v>
                </c:pt>
                <c:pt idx="13">
                  <c:v>47.559857904825343</c:v>
                </c:pt>
                <c:pt idx="14">
                  <c:v>48.344713497957443</c:v>
                </c:pt>
                <c:pt idx="15">
                  <c:v>49.129569091089543</c:v>
                </c:pt>
                <c:pt idx="16">
                  <c:v>49.914424684221643</c:v>
                </c:pt>
                <c:pt idx="17">
                  <c:v>50.699280277353743</c:v>
                </c:pt>
                <c:pt idx="18">
                  <c:v>51.484135870485822</c:v>
                </c:pt>
                <c:pt idx="19">
                  <c:v>52.778865712051847</c:v>
                </c:pt>
                <c:pt idx="20">
                  <c:v>54.073595553617871</c:v>
                </c:pt>
                <c:pt idx="21">
                  <c:v>55.368325395183895</c:v>
                </c:pt>
                <c:pt idx="22">
                  <c:v>56.663055236749919</c:v>
                </c:pt>
                <c:pt idx="23">
                  <c:v>57.957785078315943</c:v>
                </c:pt>
                <c:pt idx="24">
                  <c:v>59.252514919881968</c:v>
                </c:pt>
                <c:pt idx="25">
                  <c:v>60.547244761447992</c:v>
                </c:pt>
                <c:pt idx="26">
                  <c:v>61.841974603014016</c:v>
                </c:pt>
                <c:pt idx="27">
                  <c:v>63.13670444458004</c:v>
                </c:pt>
                <c:pt idx="28">
                  <c:v>64.431434286146057</c:v>
                </c:pt>
                <c:pt idx="29">
                  <c:v>73.873852013619597</c:v>
                </c:pt>
                <c:pt idx="30">
                  <c:v>83.316269741093109</c:v>
                </c:pt>
                <c:pt idx="31">
                  <c:v>83.316269741093109</c:v>
                </c:pt>
                <c:pt idx="32">
                  <c:v>83.316269741093109</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FTRA!$J$138:$AP$138</c:f>
              <c:numCache>
                <c:formatCode>0.00</c:formatCode>
                <c:ptCount val="33"/>
                <c:pt idx="0">
                  <c:v>3.310563752317667</c:v>
                </c:pt>
                <c:pt idx="1">
                  <c:v>3.3405637523176668</c:v>
                </c:pt>
                <c:pt idx="2">
                  <c:v>3.3705637523176666</c:v>
                </c:pt>
                <c:pt idx="3">
                  <c:v>3.4</c:v>
                </c:pt>
                <c:pt idx="4">
                  <c:v>3.4249999999999998</c:v>
                </c:pt>
                <c:pt idx="5">
                  <c:v>3.45</c:v>
                </c:pt>
                <c:pt idx="6">
                  <c:v>3.5076429930568063</c:v>
                </c:pt>
                <c:pt idx="7">
                  <c:v>3.5652859861136119</c:v>
                </c:pt>
                <c:pt idx="8">
                  <c:v>3.3543445288256186</c:v>
                </c:pt>
                <c:pt idx="9">
                  <c:v>3.4104176009486125</c:v>
                </c:pt>
                <c:pt idx="10">
                  <c:v>3.4706755722392031</c:v>
                </c:pt>
                <c:pt idx="11">
                  <c:v>3.5309335435297937</c:v>
                </c:pt>
                <c:pt idx="12">
                  <c:v>3.5911915148203843</c:v>
                </c:pt>
                <c:pt idx="13">
                  <c:v>3.651449486110975</c:v>
                </c:pt>
                <c:pt idx="14">
                  <c:v>3.7117074574015656</c:v>
                </c:pt>
                <c:pt idx="15">
                  <c:v>3.7719654286921562</c:v>
                </c:pt>
                <c:pt idx="16">
                  <c:v>3.8322233999827469</c:v>
                </c:pt>
                <c:pt idx="17">
                  <c:v>3.8924813712733375</c:v>
                </c:pt>
                <c:pt idx="18">
                  <c:v>3.9527393425639263</c:v>
                </c:pt>
                <c:pt idx="19">
                  <c:v>4.052143353065798</c:v>
                </c:pt>
                <c:pt idx="20">
                  <c:v>4.1515473635676701</c:v>
                </c:pt>
                <c:pt idx="21">
                  <c:v>4.2509513740695422</c:v>
                </c:pt>
                <c:pt idx="22">
                  <c:v>4.3503553845714142</c:v>
                </c:pt>
                <c:pt idx="23">
                  <c:v>4.4497593950732863</c:v>
                </c:pt>
                <c:pt idx="24">
                  <c:v>4.5491634055751584</c:v>
                </c:pt>
                <c:pt idx="25">
                  <c:v>4.6485674160770305</c:v>
                </c:pt>
                <c:pt idx="26">
                  <c:v>4.7479714265789026</c:v>
                </c:pt>
                <c:pt idx="27">
                  <c:v>4.8473754370807747</c:v>
                </c:pt>
                <c:pt idx="28">
                  <c:v>4.9467794475826459</c:v>
                </c:pt>
                <c:pt idx="29">
                  <c:v>5.6717292871642782</c:v>
                </c:pt>
                <c:pt idx="30">
                  <c:v>6.3966791267459104</c:v>
                </c:pt>
                <c:pt idx="31">
                  <c:v>6.3966791267459104</c:v>
                </c:pt>
                <c:pt idx="32">
                  <c:v>6.3966791267459104</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FTRA!$J$139:$AP$139</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0.72064702356147514</c:v>
                </c:pt>
                <c:pt idx="7">
                  <c:v>0.70528460887642519</c:v>
                </c:pt>
                <c:pt idx="8">
                  <c:v>0.66355618546841733</c:v>
                </c:pt>
                <c:pt idx="9">
                  <c:v>0.6746485564296244</c:v>
                </c:pt>
                <c:pt idx="10">
                  <c:v>0.68656878383323239</c:v>
                </c:pt>
                <c:pt idx="11">
                  <c:v>0.69848901123684037</c:v>
                </c:pt>
                <c:pt idx="12">
                  <c:v>0.71040923864044836</c:v>
                </c:pt>
                <c:pt idx="13">
                  <c:v>0.72232946604405635</c:v>
                </c:pt>
                <c:pt idx="14">
                  <c:v>0.73424969344766433</c:v>
                </c:pt>
                <c:pt idx="15">
                  <c:v>0.74616992085127232</c:v>
                </c:pt>
                <c:pt idx="16">
                  <c:v>0.7580901482548803</c:v>
                </c:pt>
                <c:pt idx="17">
                  <c:v>0.77001037565848829</c:v>
                </c:pt>
                <c:pt idx="18">
                  <c:v>0.78193060306209605</c:v>
                </c:pt>
                <c:pt idx="19">
                  <c:v>0.8015946970339749</c:v>
                </c:pt>
                <c:pt idx="20">
                  <c:v>0.82125879100585375</c:v>
                </c:pt>
                <c:pt idx="21">
                  <c:v>0.8409228849777326</c:v>
                </c:pt>
                <c:pt idx="22">
                  <c:v>0.86058697894961145</c:v>
                </c:pt>
                <c:pt idx="23">
                  <c:v>0.8802510729214903</c:v>
                </c:pt>
                <c:pt idx="24">
                  <c:v>0.89991516689336915</c:v>
                </c:pt>
                <c:pt idx="25">
                  <c:v>0.91957926086524799</c:v>
                </c:pt>
                <c:pt idx="26">
                  <c:v>0.93924335483712684</c:v>
                </c:pt>
                <c:pt idx="27">
                  <c:v>0.95890744880900569</c:v>
                </c:pt>
                <c:pt idx="28">
                  <c:v>0.97857154278088487</c:v>
                </c:pt>
                <c:pt idx="29">
                  <c:v>1.1219810661840002</c:v>
                </c:pt>
                <c:pt idx="30">
                  <c:v>1.2653905895871154</c:v>
                </c:pt>
                <c:pt idx="31">
                  <c:v>1.2653905895871154</c:v>
                </c:pt>
                <c:pt idx="32">
                  <c:v>1.2653905895871154</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FTRA!$J$140:$AP$140</c:f>
              <c:numCache>
                <c:formatCode>0.00</c:formatCode>
                <c:ptCount val="33"/>
                <c:pt idx="0">
                  <c:v>2.7114063478211388</c:v>
                </c:pt>
                <c:pt idx="1">
                  <c:v>2.7742708985474289</c:v>
                </c:pt>
                <c:pt idx="2">
                  <c:v>2.8371354492737191</c:v>
                </c:pt>
                <c:pt idx="3">
                  <c:v>2.9</c:v>
                </c:pt>
                <c:pt idx="4">
                  <c:v>2.9652984627095749</c:v>
                </c:pt>
                <c:pt idx="5">
                  <c:v>3.0305969254191498</c:v>
                </c:pt>
                <c:pt idx="6">
                  <c:v>2.9755611597709288</c:v>
                </c:pt>
                <c:pt idx="7">
                  <c:v>2.9205253941227078</c:v>
                </c:pt>
                <c:pt idx="8">
                  <c:v>2.7477314345126453</c:v>
                </c:pt>
                <c:pt idx="9">
                  <c:v>2.7936640277743123</c:v>
                </c:pt>
                <c:pt idx="10">
                  <c:v>2.8430247062831131</c:v>
                </c:pt>
                <c:pt idx="11">
                  <c:v>2.8923853847919139</c:v>
                </c:pt>
                <c:pt idx="12">
                  <c:v>2.9417460633007146</c:v>
                </c:pt>
                <c:pt idx="13">
                  <c:v>2.9911067418095154</c:v>
                </c:pt>
                <c:pt idx="14">
                  <c:v>3.0404674203183162</c:v>
                </c:pt>
                <c:pt idx="15">
                  <c:v>3.089828098827117</c:v>
                </c:pt>
                <c:pt idx="16">
                  <c:v>3.1391887773359177</c:v>
                </c:pt>
                <c:pt idx="17">
                  <c:v>3.1885494558447185</c:v>
                </c:pt>
                <c:pt idx="18">
                  <c:v>3.2379101343535184</c:v>
                </c:pt>
                <c:pt idx="19">
                  <c:v>3.3193375256144413</c:v>
                </c:pt>
                <c:pt idx="20">
                  <c:v>3.4007649168753642</c:v>
                </c:pt>
                <c:pt idx="21">
                  <c:v>3.4821923081362871</c:v>
                </c:pt>
                <c:pt idx="22">
                  <c:v>3.56361969939721</c:v>
                </c:pt>
                <c:pt idx="23">
                  <c:v>3.6450470906581329</c:v>
                </c:pt>
                <c:pt idx="24">
                  <c:v>3.7264744819190558</c:v>
                </c:pt>
                <c:pt idx="25">
                  <c:v>3.8079018731799787</c:v>
                </c:pt>
                <c:pt idx="26">
                  <c:v>3.8893292644409017</c:v>
                </c:pt>
                <c:pt idx="27">
                  <c:v>3.9707566557018246</c:v>
                </c:pt>
                <c:pt idx="28">
                  <c:v>4.0521840469627461</c:v>
                </c:pt>
                <c:pt idx="29">
                  <c:v>4.6460310550876853</c:v>
                </c:pt>
                <c:pt idx="30">
                  <c:v>5.2398780632126236</c:v>
                </c:pt>
                <c:pt idx="31">
                  <c:v>5.2398780632126236</c:v>
                </c:pt>
                <c:pt idx="32">
                  <c:v>5.2398780632126236</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FTRA!$J$141:$AP$141</c:f>
              <c:numCache>
                <c:formatCode>0.00</c:formatCode>
                <c:ptCount val="33"/>
                <c:pt idx="0">
                  <c:v>0.57023972229676956</c:v>
                </c:pt>
                <c:pt idx="1">
                  <c:v>0.55900373411704862</c:v>
                </c:pt>
                <c:pt idx="2">
                  <c:v>0.54776774593732769</c:v>
                </c:pt>
                <c:pt idx="3" formatCode="0.000">
                  <c:v>0.53653175775760331</c:v>
                </c:pt>
                <c:pt idx="4">
                  <c:v>0.54016937887880168</c:v>
                </c:pt>
                <c:pt idx="5">
                  <c:v>0.54380700000000004</c:v>
                </c:pt>
                <c:pt idx="6">
                  <c:v>0.57901342305588788</c:v>
                </c:pt>
                <c:pt idx="7">
                  <c:v>0.6142198461117756</c:v>
                </c:pt>
                <c:pt idx="8">
                  <c:v>0.57787930290187206</c:v>
                </c:pt>
                <c:pt idx="9">
                  <c:v>0.58753945186735324</c:v>
                </c:pt>
                <c:pt idx="10">
                  <c:v>0.59792056631294621</c:v>
                </c:pt>
                <c:pt idx="11">
                  <c:v>0.60830168075853919</c:v>
                </c:pt>
                <c:pt idx="12">
                  <c:v>0.61868279520413216</c:v>
                </c:pt>
                <c:pt idx="13">
                  <c:v>0.62906390964972514</c:v>
                </c:pt>
                <c:pt idx="14">
                  <c:v>0.63944502409531812</c:v>
                </c:pt>
                <c:pt idx="15">
                  <c:v>0.64982613854091109</c:v>
                </c:pt>
                <c:pt idx="16">
                  <c:v>0.66020725298650407</c:v>
                </c:pt>
                <c:pt idx="17">
                  <c:v>0.67058836743209704</c:v>
                </c:pt>
                <c:pt idx="18">
                  <c:v>0.68096948187769002</c:v>
                </c:pt>
                <c:pt idx="19">
                  <c:v>0.69809459225345205</c:v>
                </c:pt>
                <c:pt idx="20">
                  <c:v>0.71521970262921408</c:v>
                </c:pt>
                <c:pt idx="21">
                  <c:v>0.73234481300497611</c:v>
                </c:pt>
                <c:pt idx="22">
                  <c:v>0.74946992338073815</c:v>
                </c:pt>
                <c:pt idx="23">
                  <c:v>0.76659503375650018</c:v>
                </c:pt>
                <c:pt idx="24">
                  <c:v>0.78372014413226221</c:v>
                </c:pt>
                <c:pt idx="25">
                  <c:v>0.80084525450802424</c:v>
                </c:pt>
                <c:pt idx="26">
                  <c:v>0.81797036488378627</c:v>
                </c:pt>
                <c:pt idx="27">
                  <c:v>0.8350954752595483</c:v>
                </c:pt>
                <c:pt idx="28">
                  <c:v>0.85222058563531045</c:v>
                </c:pt>
                <c:pt idx="29">
                  <c:v>0.97711339385347207</c:v>
                </c:pt>
                <c:pt idx="30">
                  <c:v>1.1020062020716337</c:v>
                </c:pt>
                <c:pt idx="31">
                  <c:v>1.1020062020716337</c:v>
                </c:pt>
                <c:pt idx="32">
                  <c:v>1.1020062020716337</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FTRA!$J$142:$AP$142</c:f>
              <c:numCache>
                <c:formatCode>0.00</c:formatCode>
                <c:ptCount val="33"/>
                <c:pt idx="0">
                  <c:v>0.27326501935541331</c:v>
                </c:pt>
                <c:pt idx="1">
                  <c:v>0.27740453823694228</c:v>
                </c:pt>
                <c:pt idx="2">
                  <c:v>0.28154405711847125</c:v>
                </c:pt>
                <c:pt idx="3">
                  <c:v>0.28568357599999999</c:v>
                </c:pt>
                <c:pt idx="4">
                  <c:v>0.2876204765</c:v>
                </c:pt>
                <c:pt idx="5">
                  <c:v>0.289557377</c:v>
                </c:pt>
                <c:pt idx="6">
                  <c:v>0.29194907279047111</c:v>
                </c:pt>
                <c:pt idx="7">
                  <c:v>0.29434076858094221</c:v>
                </c:pt>
                <c:pt idx="8">
                  <c:v>0.27692598869917107</c:v>
                </c:pt>
                <c:pt idx="9">
                  <c:v>0.28155523617319139</c:v>
                </c:pt>
                <c:pt idx="10">
                  <c:v>0.28652997807380803</c:v>
                </c:pt>
                <c:pt idx="11">
                  <c:v>0.29150471997442468</c:v>
                </c:pt>
                <c:pt idx="12">
                  <c:v>0.29647946187504132</c:v>
                </c:pt>
                <c:pt idx="13">
                  <c:v>0.30145420377565796</c:v>
                </c:pt>
                <c:pt idx="14">
                  <c:v>0.3064289456762746</c:v>
                </c:pt>
                <c:pt idx="15">
                  <c:v>0.31140368757689124</c:v>
                </c:pt>
                <c:pt idx="16">
                  <c:v>0.31637842947750788</c:v>
                </c:pt>
                <c:pt idx="17">
                  <c:v>0.32135317137812452</c:v>
                </c:pt>
                <c:pt idx="18">
                  <c:v>0.32632791327874128</c:v>
                </c:pt>
                <c:pt idx="19">
                  <c:v>0.33453445069680765</c:v>
                </c:pt>
                <c:pt idx="20">
                  <c:v>0.34274098811487402</c:v>
                </c:pt>
                <c:pt idx="21">
                  <c:v>0.3509475255329404</c:v>
                </c:pt>
                <c:pt idx="22">
                  <c:v>0.35915406295100677</c:v>
                </c:pt>
                <c:pt idx="23">
                  <c:v>0.36736060036907314</c:v>
                </c:pt>
                <c:pt idx="24">
                  <c:v>0.37556713778713952</c:v>
                </c:pt>
                <c:pt idx="25">
                  <c:v>0.38377367520520589</c:v>
                </c:pt>
                <c:pt idx="26">
                  <c:v>0.39198021262327226</c:v>
                </c:pt>
                <c:pt idx="27">
                  <c:v>0.40018675004133863</c:v>
                </c:pt>
                <c:pt idx="28">
                  <c:v>0.40839328745940517</c:v>
                </c:pt>
                <c:pt idx="29">
                  <c:v>0.46824326689897561</c:v>
                </c:pt>
                <c:pt idx="30">
                  <c:v>0.52809324633854615</c:v>
                </c:pt>
                <c:pt idx="31">
                  <c:v>0.52809324633854615</c:v>
                </c:pt>
                <c:pt idx="32">
                  <c:v>0.52809324633854615</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FTRA!$J$143:$AP$143</c:f>
              <c:numCache>
                <c:formatCode>0.00</c:formatCode>
                <c:ptCount val="33"/>
                <c:pt idx="0">
                  <c:v>5.0361375113209643</c:v>
                </c:pt>
                <c:pt idx="1">
                  <c:v>5.3607583408806443</c:v>
                </c:pt>
                <c:pt idx="2">
                  <c:v>5.6853791704403243</c:v>
                </c:pt>
                <c:pt idx="3">
                  <c:v>6.01</c:v>
                </c:pt>
                <c:pt idx="4">
                  <c:v>6.3253919226144593</c:v>
                </c:pt>
                <c:pt idx="5">
                  <c:v>6.6407838452289196</c:v>
                </c:pt>
                <c:pt idx="6">
                  <c:v>6.0326684321693991</c:v>
                </c:pt>
                <c:pt idx="7">
                  <c:v>5.4245530191098785</c:v>
                </c:pt>
                <c:pt idx="8">
                  <c:v>5.1036073436594931</c:v>
                </c:pt>
                <c:pt idx="9">
                  <c:v>5.188922057222519</c:v>
                </c:pt>
                <c:pt idx="10">
                  <c:v>5.2806040601145563</c:v>
                </c:pt>
                <c:pt idx="11">
                  <c:v>5.3722860630065936</c:v>
                </c:pt>
                <c:pt idx="12">
                  <c:v>5.4639680658986309</c:v>
                </c:pt>
                <c:pt idx="13">
                  <c:v>5.5556500687906683</c:v>
                </c:pt>
                <c:pt idx="14">
                  <c:v>5.6473320716827056</c:v>
                </c:pt>
                <c:pt idx="15">
                  <c:v>5.7390140745747429</c:v>
                </c:pt>
                <c:pt idx="16">
                  <c:v>5.8306960774667802</c:v>
                </c:pt>
                <c:pt idx="17">
                  <c:v>5.9223780803588175</c:v>
                </c:pt>
                <c:pt idx="18">
                  <c:v>6.0140600832508548</c:v>
                </c:pt>
                <c:pt idx="19">
                  <c:v>6.1653024597053019</c:v>
                </c:pt>
                <c:pt idx="20">
                  <c:v>6.3165448361597489</c:v>
                </c:pt>
                <c:pt idx="21">
                  <c:v>6.467787212614196</c:v>
                </c:pt>
                <c:pt idx="22">
                  <c:v>6.619029589068643</c:v>
                </c:pt>
                <c:pt idx="23">
                  <c:v>6.7702719655230901</c:v>
                </c:pt>
                <c:pt idx="24">
                  <c:v>6.9215143419775371</c:v>
                </c:pt>
                <c:pt idx="25">
                  <c:v>7.0727567184319842</c:v>
                </c:pt>
                <c:pt idx="26">
                  <c:v>7.2239990948864312</c:v>
                </c:pt>
                <c:pt idx="27">
                  <c:v>7.3752414713408783</c:v>
                </c:pt>
                <c:pt idx="28">
                  <c:v>7.5264838477953289</c:v>
                </c:pt>
                <c:pt idx="29">
                  <c:v>8.6294890082011193</c:v>
                </c:pt>
                <c:pt idx="30">
                  <c:v>9.7324941686069124</c:v>
                </c:pt>
                <c:pt idx="31">
                  <c:v>9.7324941686069124</c:v>
                </c:pt>
                <c:pt idx="32">
                  <c:v>9.7324941686069124</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FTRA!$J$144:$AP$144</c:f>
              <c:numCache>
                <c:formatCode>0.00</c:formatCode>
                <c:ptCount val="33"/>
                <c:pt idx="0">
                  <c:v>1.5653068685251963</c:v>
                </c:pt>
                <c:pt idx="1">
                  <c:v>1.6102045790167996</c:v>
                </c:pt>
                <c:pt idx="2">
                  <c:v>1.6551022895084029</c:v>
                </c:pt>
                <c:pt idx="3">
                  <c:v>1.7</c:v>
                </c:pt>
                <c:pt idx="4">
                  <c:v>1.74</c:v>
                </c:pt>
                <c:pt idx="5">
                  <c:v>1.78</c:v>
                </c:pt>
                <c:pt idx="6">
                  <c:v>1.7330161091118188</c:v>
                </c:pt>
                <c:pt idx="7">
                  <c:v>1.6860322182236378</c:v>
                </c:pt>
                <c:pt idx="8">
                  <c:v>1.5862775016225472</c:v>
                </c:pt>
                <c:pt idx="9">
                  <c:v>1.6127945907263026</c:v>
                </c:pt>
                <c:pt idx="10">
                  <c:v>1.6412907285947482</c:v>
                </c:pt>
                <c:pt idx="11">
                  <c:v>1.6697868664631939</c:v>
                </c:pt>
                <c:pt idx="12">
                  <c:v>1.6982830043316395</c:v>
                </c:pt>
                <c:pt idx="13">
                  <c:v>1.7267791422000851</c:v>
                </c:pt>
                <c:pt idx="14">
                  <c:v>1.7552752800685307</c:v>
                </c:pt>
                <c:pt idx="15">
                  <c:v>1.7837714179369764</c:v>
                </c:pt>
                <c:pt idx="16">
                  <c:v>1.812267555805422</c:v>
                </c:pt>
                <c:pt idx="17">
                  <c:v>1.8407636936738676</c:v>
                </c:pt>
                <c:pt idx="18">
                  <c:v>1.8692598315423128</c:v>
                </c:pt>
                <c:pt idx="19">
                  <c:v>1.9162682244116573</c:v>
                </c:pt>
                <c:pt idx="20">
                  <c:v>1.9632766172810019</c:v>
                </c:pt>
                <c:pt idx="21">
                  <c:v>2.0102850101503464</c:v>
                </c:pt>
                <c:pt idx="22">
                  <c:v>2.057293403019691</c:v>
                </c:pt>
                <c:pt idx="23">
                  <c:v>2.1043017958890355</c:v>
                </c:pt>
                <c:pt idx="24">
                  <c:v>2.1513101887583801</c:v>
                </c:pt>
                <c:pt idx="25">
                  <c:v>2.1983185816277246</c:v>
                </c:pt>
                <c:pt idx="26">
                  <c:v>2.2453269744970692</c:v>
                </c:pt>
                <c:pt idx="27">
                  <c:v>2.2923353673664137</c:v>
                </c:pt>
                <c:pt idx="28">
                  <c:v>2.3393437602357583</c:v>
                </c:pt>
                <c:pt idx="29">
                  <c:v>2.6821742627231795</c:v>
                </c:pt>
                <c:pt idx="30">
                  <c:v>3.0250047652106007</c:v>
                </c:pt>
                <c:pt idx="31">
                  <c:v>3.0250047652106007</c:v>
                </c:pt>
                <c:pt idx="32">
                  <c:v>3.0250047652106007</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FTRA!$J$145:$AP$145</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8.2521562368481099E-2</c:v>
                </c:pt>
                <c:pt idx="7">
                  <c:v>6.29969412856662E-2</c:v>
                </c:pt>
                <c:pt idx="8">
                  <c:v>5.9269704073492357E-2</c:v>
                </c:pt>
                <c:pt idx="9">
                  <c:v>6.0260489117384367E-2</c:v>
                </c:pt>
                <c:pt idx="10">
                  <c:v>6.1325219378623425E-2</c:v>
                </c:pt>
                <c:pt idx="11">
                  <c:v>6.2389949639862483E-2</c:v>
                </c:pt>
                <c:pt idx="12">
                  <c:v>6.3454679901101541E-2</c:v>
                </c:pt>
                <c:pt idx="13">
                  <c:v>6.4519410162340599E-2</c:v>
                </c:pt>
                <c:pt idx="14">
                  <c:v>6.5584140423579657E-2</c:v>
                </c:pt>
                <c:pt idx="15">
                  <c:v>6.6648870684818715E-2</c:v>
                </c:pt>
                <c:pt idx="16">
                  <c:v>6.7713600946057773E-2</c:v>
                </c:pt>
                <c:pt idx="17">
                  <c:v>6.8778331207296831E-2</c:v>
                </c:pt>
                <c:pt idx="18">
                  <c:v>6.9843061468535861E-2</c:v>
                </c:pt>
                <c:pt idx="19">
                  <c:v>7.1599483993274843E-2</c:v>
                </c:pt>
                <c:pt idx="20">
                  <c:v>7.3355906518013825E-2</c:v>
                </c:pt>
                <c:pt idx="21">
                  <c:v>7.5112329042752807E-2</c:v>
                </c:pt>
                <c:pt idx="22">
                  <c:v>7.6868751567491789E-2</c:v>
                </c:pt>
                <c:pt idx="23">
                  <c:v>7.8625174092230771E-2</c:v>
                </c:pt>
                <c:pt idx="24">
                  <c:v>8.0381596616969753E-2</c:v>
                </c:pt>
                <c:pt idx="25">
                  <c:v>8.2138019141708735E-2</c:v>
                </c:pt>
                <c:pt idx="26">
                  <c:v>8.3894441666447717E-2</c:v>
                </c:pt>
                <c:pt idx="27">
                  <c:v>8.5650864191186699E-2</c:v>
                </c:pt>
                <c:pt idx="28">
                  <c:v>8.7407286715925681E-2</c:v>
                </c:pt>
                <c:pt idx="29">
                  <c:v>0.10021681241934899</c:v>
                </c:pt>
                <c:pt idx="30">
                  <c:v>0.1130263381227723</c:v>
                </c:pt>
                <c:pt idx="31">
                  <c:v>0.1130263381227723</c:v>
                </c:pt>
                <c:pt idx="32">
                  <c:v>0.1130263381227723</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FTRA!$J$146:$AP$146</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3.2861518920469207E-2</c:v>
                </c:pt>
                <c:pt idx="7">
                  <c:v>4.3052037840938417E-2</c:v>
                </c:pt>
                <c:pt idx="8">
                  <c:v>4.0504848180205263E-2</c:v>
                </c:pt>
                <c:pt idx="9">
                  <c:v>4.1181949549436034E-2</c:v>
                </c:pt>
                <c:pt idx="10">
                  <c:v>4.1909584995884062E-2</c:v>
                </c:pt>
                <c:pt idx="11">
                  <c:v>4.2637220442332091E-2</c:v>
                </c:pt>
                <c:pt idx="12">
                  <c:v>4.336485588878012E-2</c:v>
                </c:pt>
                <c:pt idx="13">
                  <c:v>4.4092491335228148E-2</c:v>
                </c:pt>
                <c:pt idx="14">
                  <c:v>4.4820126781676177E-2</c:v>
                </c:pt>
                <c:pt idx="15">
                  <c:v>4.5547762228124206E-2</c:v>
                </c:pt>
                <c:pt idx="16">
                  <c:v>4.6275397674572234E-2</c:v>
                </c:pt>
                <c:pt idx="17">
                  <c:v>4.7003033121020263E-2</c:v>
                </c:pt>
                <c:pt idx="18">
                  <c:v>4.7730668567468298E-2</c:v>
                </c:pt>
                <c:pt idx="19">
                  <c:v>4.8931005718074447E-2</c:v>
                </c:pt>
                <c:pt idx="20">
                  <c:v>5.0131342868680595E-2</c:v>
                </c:pt>
                <c:pt idx="21">
                  <c:v>5.1331680019286743E-2</c:v>
                </c:pt>
                <c:pt idx="22">
                  <c:v>5.2532017169892892E-2</c:v>
                </c:pt>
                <c:pt idx="23">
                  <c:v>5.373235432049904E-2</c:v>
                </c:pt>
                <c:pt idx="24">
                  <c:v>5.4932691471105188E-2</c:v>
                </c:pt>
                <c:pt idx="25">
                  <c:v>5.6133028621711337E-2</c:v>
                </c:pt>
                <c:pt idx="26">
                  <c:v>5.7333365772317485E-2</c:v>
                </c:pt>
                <c:pt idx="27">
                  <c:v>5.8533702922923633E-2</c:v>
                </c:pt>
                <c:pt idx="28">
                  <c:v>5.9734040073529761E-2</c:v>
                </c:pt>
                <c:pt idx="29">
                  <c:v>6.8488055332898104E-2</c:v>
                </c:pt>
                <c:pt idx="30">
                  <c:v>7.7242070592266454E-2</c:v>
                </c:pt>
                <c:pt idx="31">
                  <c:v>7.7242070592266454E-2</c:v>
                </c:pt>
                <c:pt idx="32">
                  <c:v>7.7242070592266454E-2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FTRA!$J$147:$AP$147</c:f>
              <c:numCache>
                <c:formatCode>0.00</c:formatCode>
                <c:ptCount val="33"/>
                <c:pt idx="0">
                  <c:v>22</c:v>
                </c:pt>
                <c:pt idx="1">
                  <c:v>22.352445526032646</c:v>
                </c:pt>
                <c:pt idx="2">
                  <c:v>22.704891052065292</c:v>
                </c:pt>
                <c:pt idx="3">
                  <c:v>23.057336578097942</c:v>
                </c:pt>
                <c:pt idx="4">
                  <c:v>23.249070137552067</c:v>
                </c:pt>
                <c:pt idx="5">
                  <c:v>23.440803697006192</c:v>
                </c:pt>
                <c:pt idx="6">
                  <c:v>23.568784279696359</c:v>
                </c:pt>
                <c:pt idx="7">
                  <c:v>23.696764862386523</c:v>
                </c:pt>
                <c:pt idx="8">
                  <c:v>22.294737049596232</c:v>
                </c:pt>
                <c:pt idx="9">
                  <c:v>22.667428163404651</c:v>
                </c:pt>
                <c:pt idx="10">
                  <c:v>23.0679343169977</c:v>
                </c:pt>
                <c:pt idx="11">
                  <c:v>23.46844047059075</c:v>
                </c:pt>
                <c:pt idx="12">
                  <c:v>23.868946624183799</c:v>
                </c:pt>
                <c:pt idx="13">
                  <c:v>24.269452777776849</c:v>
                </c:pt>
                <c:pt idx="14">
                  <c:v>24.669958931369898</c:v>
                </c:pt>
                <c:pt idx="15">
                  <c:v>25.070465084962947</c:v>
                </c:pt>
                <c:pt idx="16">
                  <c:v>25.470971238555997</c:v>
                </c:pt>
                <c:pt idx="17">
                  <c:v>25.871477392149046</c:v>
                </c:pt>
                <c:pt idx="18">
                  <c:v>26.271983545742081</c:v>
                </c:pt>
                <c:pt idx="19">
                  <c:v>26.932674854213737</c:v>
                </c:pt>
                <c:pt idx="20">
                  <c:v>27.593366162685392</c:v>
                </c:pt>
                <c:pt idx="21">
                  <c:v>28.254057471157047</c:v>
                </c:pt>
                <c:pt idx="22">
                  <c:v>28.914748779628702</c:v>
                </c:pt>
                <c:pt idx="23">
                  <c:v>29.575440088100358</c:v>
                </c:pt>
                <c:pt idx="24">
                  <c:v>30.236131396572013</c:v>
                </c:pt>
                <c:pt idx="25">
                  <c:v>30.896822705043668</c:v>
                </c:pt>
                <c:pt idx="26">
                  <c:v>31.557514013515323</c:v>
                </c:pt>
                <c:pt idx="27">
                  <c:v>32.218205321986979</c:v>
                </c:pt>
                <c:pt idx="28">
                  <c:v>32.878896630458648</c:v>
                </c:pt>
                <c:pt idx="29">
                  <c:v>37.697294355774616</c:v>
                </c:pt>
                <c:pt idx="30">
                  <c:v>42.515692081090613</c:v>
                </c:pt>
                <c:pt idx="31">
                  <c:v>42.515692081090613</c:v>
                </c:pt>
                <c:pt idx="32">
                  <c:v>42.515692081090613</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FTRA!$J$148:$AP$148</c:f>
              <c:numCache>
                <c:formatCode>0.00</c:formatCode>
                <c:ptCount val="33"/>
                <c:pt idx="0">
                  <c:v>25.1</c:v>
                </c:pt>
                <c:pt idx="1">
                  <c:v>25.502108304700894</c:v>
                </c:pt>
                <c:pt idx="2">
                  <c:v>25.904216609401786</c:v>
                </c:pt>
                <c:pt idx="3">
                  <c:v>26.306324914102674</c:v>
                </c:pt>
                <c:pt idx="4">
                  <c:v>26.525075475116246</c:v>
                </c:pt>
                <c:pt idx="5">
                  <c:v>26.743826036129814</c:v>
                </c:pt>
                <c:pt idx="6">
                  <c:v>26.889840246380864</c:v>
                </c:pt>
                <c:pt idx="7">
                  <c:v>27.035854456631917</c:v>
                </c:pt>
                <c:pt idx="8">
                  <c:v>25.436268179312091</c:v>
                </c:pt>
                <c:pt idx="9">
                  <c:v>25.861474859157145</c:v>
                </c:pt>
                <c:pt idx="10">
                  <c:v>26.318415970756487</c:v>
                </c:pt>
                <c:pt idx="11">
                  <c:v>26.775357082355828</c:v>
                </c:pt>
                <c:pt idx="12">
                  <c:v>27.23229819395517</c:v>
                </c:pt>
                <c:pt idx="13">
                  <c:v>27.689239305554512</c:v>
                </c:pt>
                <c:pt idx="14">
                  <c:v>28.146180417153854</c:v>
                </c:pt>
                <c:pt idx="15">
                  <c:v>28.603121528753196</c:v>
                </c:pt>
                <c:pt idx="16">
                  <c:v>29.060062640352537</c:v>
                </c:pt>
                <c:pt idx="17">
                  <c:v>29.517003751951879</c:v>
                </c:pt>
                <c:pt idx="18">
                  <c:v>29.973944863551218</c:v>
                </c:pt>
                <c:pt idx="19">
                  <c:v>30.727733583671153</c:v>
                </c:pt>
                <c:pt idx="20">
                  <c:v>31.481522303791088</c:v>
                </c:pt>
                <c:pt idx="21">
                  <c:v>32.235311023911024</c:v>
                </c:pt>
                <c:pt idx="22">
                  <c:v>32.989099744030959</c:v>
                </c:pt>
                <c:pt idx="23">
                  <c:v>33.742888464150894</c:v>
                </c:pt>
                <c:pt idx="24">
                  <c:v>34.49667718427083</c:v>
                </c:pt>
                <c:pt idx="25">
                  <c:v>35.250465904390765</c:v>
                </c:pt>
                <c:pt idx="26">
                  <c:v>36.0042546245107</c:v>
                </c:pt>
                <c:pt idx="27">
                  <c:v>36.758043344630636</c:v>
                </c:pt>
                <c:pt idx="28">
                  <c:v>37.511832064750571</c:v>
                </c:pt>
                <c:pt idx="29">
                  <c:v>43.009185833179252</c:v>
                </c:pt>
                <c:pt idx="30">
                  <c:v>48.506539601607955</c:v>
                </c:pt>
                <c:pt idx="31">
                  <c:v>48.506539601607955</c:v>
                </c:pt>
                <c:pt idx="32">
                  <c:v>48.506539601607955</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FTRA!$J$149:$AP$149</c:f>
              <c:numCache>
                <c:formatCode>0.00</c:formatCode>
                <c:ptCount val="33"/>
                <c:pt idx="0">
                  <c:v>82</c:v>
                </c:pt>
                <c:pt idx="1">
                  <c:v>82</c:v>
                </c:pt>
                <c:pt idx="2">
                  <c:v>82</c:v>
                </c:pt>
                <c:pt idx="3">
                  <c:v>82</c:v>
                </c:pt>
                <c:pt idx="4">
                  <c:v>82</c:v>
                </c:pt>
                <c:pt idx="5">
                  <c:v>82</c:v>
                </c:pt>
                <c:pt idx="6">
                  <c:v>82.736172776937963</c:v>
                </c:pt>
                <c:pt idx="7">
                  <c:v>83.472345553875911</c:v>
                </c:pt>
                <c:pt idx="8">
                  <c:v>75.296230147600639</c:v>
                </c:pt>
                <c:pt idx="9">
                  <c:v>79.105852655656577</c:v>
                </c:pt>
                <c:pt idx="10">
                  <c:v>80.098633146166861</c:v>
                </c:pt>
                <c:pt idx="11">
                  <c:v>81.091413636677146</c:v>
                </c:pt>
                <c:pt idx="12">
                  <c:v>82.08419412718743</c:v>
                </c:pt>
                <c:pt idx="13">
                  <c:v>83.076974617697715</c:v>
                </c:pt>
                <c:pt idx="14">
                  <c:v>84.069755108208</c:v>
                </c:pt>
                <c:pt idx="15">
                  <c:v>85.062535598718284</c:v>
                </c:pt>
                <c:pt idx="16">
                  <c:v>86.055316089228569</c:v>
                </c:pt>
                <c:pt idx="17">
                  <c:v>87.048096579738854</c:v>
                </c:pt>
                <c:pt idx="18">
                  <c:v>88.040877070249081</c:v>
                </c:pt>
                <c:pt idx="19">
                  <c:v>89.889451104345511</c:v>
                </c:pt>
                <c:pt idx="20">
                  <c:v>91.738025138441941</c:v>
                </c:pt>
                <c:pt idx="21">
                  <c:v>93.586599172538371</c:v>
                </c:pt>
                <c:pt idx="22">
                  <c:v>95.435173206634801</c:v>
                </c:pt>
                <c:pt idx="23">
                  <c:v>97.28374724073123</c:v>
                </c:pt>
                <c:pt idx="24">
                  <c:v>99.13232127482766</c:v>
                </c:pt>
                <c:pt idx="25">
                  <c:v>100.98089530892409</c:v>
                </c:pt>
                <c:pt idx="26">
                  <c:v>102.82946934302052</c:v>
                </c:pt>
                <c:pt idx="27">
                  <c:v>104.67804337711695</c:v>
                </c:pt>
                <c:pt idx="28">
                  <c:v>106.52661741121335</c:v>
                </c:pt>
                <c:pt idx="29">
                  <c:v>118.056857121503</c:v>
                </c:pt>
                <c:pt idx="30">
                  <c:v>129.58709683179265</c:v>
                </c:pt>
                <c:pt idx="31">
                  <c:v>129.58709683179265</c:v>
                </c:pt>
                <c:pt idx="32">
                  <c:v>129.58709683179265</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FTRA!$M$111:$AS$111</c:f>
              <c:numCache>
                <c:formatCode>0.00</c:formatCode>
                <c:ptCount val="33"/>
                <c:pt idx="0">
                  <c:v>43.11250375056882</c:v>
                </c:pt>
                <c:pt idx="1">
                  <c:v>43.541669167045889</c:v>
                </c:pt>
                <c:pt idx="2">
                  <c:v>43.970834583522958</c:v>
                </c:pt>
                <c:pt idx="3">
                  <c:v>44.4</c:v>
                </c:pt>
                <c:pt idx="4">
                  <c:v>44.871410582810697</c:v>
                </c:pt>
                <c:pt idx="5">
                  <c:v>45.342821165621402</c:v>
                </c:pt>
                <c:pt idx="6">
                  <c:v>45.89020294658313</c:v>
                </c:pt>
                <c:pt idx="7">
                  <c:v>46.437584727544852</c:v>
                </c:pt>
                <c:pt idx="8">
                  <c:v>43.690087939484705</c:v>
                </c:pt>
                <c:pt idx="9">
                  <c:v>44.420435532296942</c:v>
                </c:pt>
                <c:pt idx="10">
                  <c:v>45.205291125429042</c:v>
                </c:pt>
                <c:pt idx="11">
                  <c:v>45.990146718561142</c:v>
                </c:pt>
                <c:pt idx="12">
                  <c:v>46.775002311693243</c:v>
                </c:pt>
                <c:pt idx="13">
                  <c:v>47.559857904825343</c:v>
                </c:pt>
                <c:pt idx="14">
                  <c:v>48.344713497957443</c:v>
                </c:pt>
                <c:pt idx="15">
                  <c:v>49.129569091089543</c:v>
                </c:pt>
                <c:pt idx="16">
                  <c:v>49.914424684221643</c:v>
                </c:pt>
                <c:pt idx="17">
                  <c:v>50.699280277353743</c:v>
                </c:pt>
                <c:pt idx="18">
                  <c:v>51.484135870485822</c:v>
                </c:pt>
                <c:pt idx="19">
                  <c:v>52.778865712051847</c:v>
                </c:pt>
                <c:pt idx="20">
                  <c:v>54.073595553617871</c:v>
                </c:pt>
                <c:pt idx="21">
                  <c:v>55.368325395183895</c:v>
                </c:pt>
                <c:pt idx="22">
                  <c:v>56.663055236749919</c:v>
                </c:pt>
                <c:pt idx="23">
                  <c:v>57.957785078315943</c:v>
                </c:pt>
                <c:pt idx="24">
                  <c:v>59.252514919881968</c:v>
                </c:pt>
                <c:pt idx="25">
                  <c:v>60.547244761447992</c:v>
                </c:pt>
                <c:pt idx="26">
                  <c:v>61.841974603014016</c:v>
                </c:pt>
                <c:pt idx="27">
                  <c:v>63.13670444458004</c:v>
                </c:pt>
                <c:pt idx="28">
                  <c:v>64.431434286146057</c:v>
                </c:pt>
                <c:pt idx="29">
                  <c:v>66.319917831640765</c:v>
                </c:pt>
                <c:pt idx="30">
                  <c:v>68.208401377135473</c:v>
                </c:pt>
                <c:pt idx="31">
                  <c:v>70.096884922630181</c:v>
                </c:pt>
                <c:pt idx="32">
                  <c:v>71.985368468124889</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FTRA!$M$112:$AS$112</c:f>
              <c:numCache>
                <c:formatCode>0.00</c:formatCode>
                <c:ptCount val="33"/>
                <c:pt idx="0">
                  <c:v>3.310563752317667</c:v>
                </c:pt>
                <c:pt idx="1">
                  <c:v>3.3405637523176668</c:v>
                </c:pt>
                <c:pt idx="2">
                  <c:v>3.3705637523176666</c:v>
                </c:pt>
                <c:pt idx="3">
                  <c:v>3.4</c:v>
                </c:pt>
                <c:pt idx="4">
                  <c:v>3.4249999999999998</c:v>
                </c:pt>
                <c:pt idx="5">
                  <c:v>3.45</c:v>
                </c:pt>
                <c:pt idx="6">
                  <c:v>3.5076429930568063</c:v>
                </c:pt>
                <c:pt idx="7">
                  <c:v>3.5652859861136119</c:v>
                </c:pt>
                <c:pt idx="8">
                  <c:v>3.3543445288256186</c:v>
                </c:pt>
                <c:pt idx="9">
                  <c:v>3.4104176009486125</c:v>
                </c:pt>
                <c:pt idx="10">
                  <c:v>3.4706755722392031</c:v>
                </c:pt>
                <c:pt idx="11">
                  <c:v>3.5309335435297937</c:v>
                </c:pt>
                <c:pt idx="12">
                  <c:v>3.5911915148203843</c:v>
                </c:pt>
                <c:pt idx="13">
                  <c:v>3.651449486110975</c:v>
                </c:pt>
                <c:pt idx="14">
                  <c:v>3.7117074574015656</c:v>
                </c:pt>
                <c:pt idx="15">
                  <c:v>3.7719654286921562</c:v>
                </c:pt>
                <c:pt idx="16">
                  <c:v>3.8322233999827469</c:v>
                </c:pt>
                <c:pt idx="17">
                  <c:v>3.8924813712733375</c:v>
                </c:pt>
                <c:pt idx="18">
                  <c:v>3.9527393425639263</c:v>
                </c:pt>
                <c:pt idx="19">
                  <c:v>4.052143353065798</c:v>
                </c:pt>
                <c:pt idx="20">
                  <c:v>4.1515473635676701</c:v>
                </c:pt>
                <c:pt idx="21">
                  <c:v>4.2509513740695422</c:v>
                </c:pt>
                <c:pt idx="22">
                  <c:v>4.3503553845714142</c:v>
                </c:pt>
                <c:pt idx="23">
                  <c:v>4.4497593950732863</c:v>
                </c:pt>
                <c:pt idx="24">
                  <c:v>4.5491634055751584</c:v>
                </c:pt>
                <c:pt idx="25">
                  <c:v>4.6485674160770305</c:v>
                </c:pt>
                <c:pt idx="26">
                  <c:v>4.7479714265789026</c:v>
                </c:pt>
                <c:pt idx="27">
                  <c:v>4.8473754370807747</c:v>
                </c:pt>
                <c:pt idx="28">
                  <c:v>4.9467794475826459</c:v>
                </c:pt>
                <c:pt idx="29">
                  <c:v>5.0917694154989723</c:v>
                </c:pt>
                <c:pt idx="30">
                  <c:v>5.2367593834152988</c:v>
                </c:pt>
                <c:pt idx="31">
                  <c:v>5.3817493513316252</c:v>
                </c:pt>
                <c:pt idx="32">
                  <c:v>5.5267393192479517</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FTRA!$M$113:$AS$113</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0.72064702356147514</c:v>
                </c:pt>
                <c:pt idx="7">
                  <c:v>0.70528460887642519</c:v>
                </c:pt>
                <c:pt idx="8">
                  <c:v>0.66355618546841733</c:v>
                </c:pt>
                <c:pt idx="9">
                  <c:v>0.6746485564296244</c:v>
                </c:pt>
                <c:pt idx="10">
                  <c:v>0.68656878383323239</c:v>
                </c:pt>
                <c:pt idx="11">
                  <c:v>0.69848901123684037</c:v>
                </c:pt>
                <c:pt idx="12">
                  <c:v>0.71040923864044836</c:v>
                </c:pt>
                <c:pt idx="13">
                  <c:v>0.72232946604405635</c:v>
                </c:pt>
                <c:pt idx="14">
                  <c:v>0.73424969344766433</c:v>
                </c:pt>
                <c:pt idx="15">
                  <c:v>0.74616992085127232</c:v>
                </c:pt>
                <c:pt idx="16">
                  <c:v>0.7580901482548803</c:v>
                </c:pt>
                <c:pt idx="17">
                  <c:v>0.77001037565848829</c:v>
                </c:pt>
                <c:pt idx="18">
                  <c:v>0.78193060306209605</c:v>
                </c:pt>
                <c:pt idx="19">
                  <c:v>0.8015946970339749</c:v>
                </c:pt>
                <c:pt idx="20">
                  <c:v>0.82125879100585375</c:v>
                </c:pt>
                <c:pt idx="21">
                  <c:v>0.8409228849777326</c:v>
                </c:pt>
                <c:pt idx="22">
                  <c:v>0.86058697894961145</c:v>
                </c:pt>
                <c:pt idx="23">
                  <c:v>0.8802510729214903</c:v>
                </c:pt>
                <c:pt idx="24">
                  <c:v>0.89991516689336915</c:v>
                </c:pt>
                <c:pt idx="25">
                  <c:v>0.91957926086524799</c:v>
                </c:pt>
                <c:pt idx="26">
                  <c:v>0.93924335483712684</c:v>
                </c:pt>
                <c:pt idx="27">
                  <c:v>0.95890744880900569</c:v>
                </c:pt>
                <c:pt idx="28">
                  <c:v>0.97857154278088487</c:v>
                </c:pt>
                <c:pt idx="29">
                  <c:v>1.007253447461508</c:v>
                </c:pt>
                <c:pt idx="30">
                  <c:v>1.0359353521421311</c:v>
                </c:pt>
                <c:pt idx="31">
                  <c:v>1.0646172568227541</c:v>
                </c:pt>
                <c:pt idx="32">
                  <c:v>1.0932991615033771</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FTRA!$M$114:$AS$114</c:f>
              <c:numCache>
                <c:formatCode>0.00</c:formatCode>
                <c:ptCount val="33"/>
                <c:pt idx="0">
                  <c:v>2.7114063478211388</c:v>
                </c:pt>
                <c:pt idx="1">
                  <c:v>2.7742708985474289</c:v>
                </c:pt>
                <c:pt idx="2">
                  <c:v>2.8371354492737191</c:v>
                </c:pt>
                <c:pt idx="3">
                  <c:v>2.9</c:v>
                </c:pt>
                <c:pt idx="4">
                  <c:v>2.9652984627095749</c:v>
                </c:pt>
                <c:pt idx="5">
                  <c:v>3.0305969254191498</c:v>
                </c:pt>
                <c:pt idx="6">
                  <c:v>2.9755611597709288</c:v>
                </c:pt>
                <c:pt idx="7">
                  <c:v>2.9205253941227078</c:v>
                </c:pt>
                <c:pt idx="8">
                  <c:v>2.7477314345126453</c:v>
                </c:pt>
                <c:pt idx="9">
                  <c:v>2.7936640277743123</c:v>
                </c:pt>
                <c:pt idx="10">
                  <c:v>2.8430247062831131</c:v>
                </c:pt>
                <c:pt idx="11">
                  <c:v>2.8923853847919139</c:v>
                </c:pt>
                <c:pt idx="12">
                  <c:v>2.9417460633007146</c:v>
                </c:pt>
                <c:pt idx="13">
                  <c:v>2.9911067418095154</c:v>
                </c:pt>
                <c:pt idx="14">
                  <c:v>3.0404674203183162</c:v>
                </c:pt>
                <c:pt idx="15">
                  <c:v>3.089828098827117</c:v>
                </c:pt>
                <c:pt idx="16">
                  <c:v>3.1391887773359177</c:v>
                </c:pt>
                <c:pt idx="17">
                  <c:v>3.1885494558447185</c:v>
                </c:pt>
                <c:pt idx="18">
                  <c:v>3.2379101343535184</c:v>
                </c:pt>
                <c:pt idx="19">
                  <c:v>3.3193375256144413</c:v>
                </c:pt>
                <c:pt idx="20">
                  <c:v>3.4007649168753642</c:v>
                </c:pt>
                <c:pt idx="21">
                  <c:v>3.4821923081362871</c:v>
                </c:pt>
                <c:pt idx="22">
                  <c:v>3.56361969939721</c:v>
                </c:pt>
                <c:pt idx="23">
                  <c:v>3.6450470906581329</c:v>
                </c:pt>
                <c:pt idx="24">
                  <c:v>3.7264744819190558</c:v>
                </c:pt>
                <c:pt idx="25">
                  <c:v>3.8079018731799787</c:v>
                </c:pt>
                <c:pt idx="26">
                  <c:v>3.8893292644409017</c:v>
                </c:pt>
                <c:pt idx="27">
                  <c:v>3.9707566557018246</c:v>
                </c:pt>
                <c:pt idx="28">
                  <c:v>4.0521840469627461</c:v>
                </c:pt>
                <c:pt idx="29">
                  <c:v>4.170953448587734</c:v>
                </c:pt>
                <c:pt idx="30">
                  <c:v>4.2897228502127218</c:v>
                </c:pt>
                <c:pt idx="31">
                  <c:v>4.4084922518377097</c:v>
                </c:pt>
                <c:pt idx="32">
                  <c:v>4.5272616534626975</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FTRA!$M$115:$AS$115</c:f>
              <c:numCache>
                <c:formatCode>0.00</c:formatCode>
                <c:ptCount val="33"/>
                <c:pt idx="0">
                  <c:v>0.57023972229676956</c:v>
                </c:pt>
                <c:pt idx="1">
                  <c:v>0.55900373411704862</c:v>
                </c:pt>
                <c:pt idx="2">
                  <c:v>0.54776774593732769</c:v>
                </c:pt>
                <c:pt idx="3">
                  <c:v>0.53653175775760331</c:v>
                </c:pt>
                <c:pt idx="4">
                  <c:v>0.54016937887880168</c:v>
                </c:pt>
                <c:pt idx="5">
                  <c:v>0.54380700000000004</c:v>
                </c:pt>
                <c:pt idx="6">
                  <c:v>0.57901342305588788</c:v>
                </c:pt>
                <c:pt idx="7">
                  <c:v>0.6142198461117756</c:v>
                </c:pt>
                <c:pt idx="8">
                  <c:v>0.57787930290187206</c:v>
                </c:pt>
                <c:pt idx="9">
                  <c:v>0.58753945186735324</c:v>
                </c:pt>
                <c:pt idx="10">
                  <c:v>0.59792056631294621</c:v>
                </c:pt>
                <c:pt idx="11">
                  <c:v>0.60830168075853919</c:v>
                </c:pt>
                <c:pt idx="12">
                  <c:v>0.61868279520413216</c:v>
                </c:pt>
                <c:pt idx="13">
                  <c:v>0.62906390964972514</c:v>
                </c:pt>
                <c:pt idx="14">
                  <c:v>0.63944502409531812</c:v>
                </c:pt>
                <c:pt idx="15">
                  <c:v>0.64982613854091109</c:v>
                </c:pt>
                <c:pt idx="16">
                  <c:v>0.66020725298650407</c:v>
                </c:pt>
                <c:pt idx="17">
                  <c:v>0.67058836743209704</c:v>
                </c:pt>
                <c:pt idx="18">
                  <c:v>0.68096948187769002</c:v>
                </c:pt>
                <c:pt idx="19">
                  <c:v>0.69809459225345205</c:v>
                </c:pt>
                <c:pt idx="20">
                  <c:v>0.71521970262921408</c:v>
                </c:pt>
                <c:pt idx="21">
                  <c:v>0.73234481300497611</c:v>
                </c:pt>
                <c:pt idx="22">
                  <c:v>0.74946992338073815</c:v>
                </c:pt>
                <c:pt idx="23">
                  <c:v>0.76659503375650018</c:v>
                </c:pt>
                <c:pt idx="24">
                  <c:v>0.78372014413226221</c:v>
                </c:pt>
                <c:pt idx="25">
                  <c:v>0.80084525450802424</c:v>
                </c:pt>
                <c:pt idx="26">
                  <c:v>0.81797036488378627</c:v>
                </c:pt>
                <c:pt idx="27">
                  <c:v>0.8350954752595483</c:v>
                </c:pt>
                <c:pt idx="28">
                  <c:v>0.85222058563531045</c:v>
                </c:pt>
                <c:pt idx="29">
                  <c:v>0.87719914727894277</c:v>
                </c:pt>
                <c:pt idx="30">
                  <c:v>0.90217770892257509</c:v>
                </c:pt>
                <c:pt idx="31">
                  <c:v>0.92715627056620742</c:v>
                </c:pt>
                <c:pt idx="32">
                  <c:v>0.95213483220983974</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FTRA!$M$116:$AS$116</c:f>
              <c:numCache>
                <c:formatCode>0.00</c:formatCode>
                <c:ptCount val="33"/>
                <c:pt idx="0">
                  <c:v>0.27326501935541331</c:v>
                </c:pt>
                <c:pt idx="1">
                  <c:v>0.27740453823694228</c:v>
                </c:pt>
                <c:pt idx="2">
                  <c:v>0.28154405711847125</c:v>
                </c:pt>
                <c:pt idx="3">
                  <c:v>0.28568357599999999</c:v>
                </c:pt>
                <c:pt idx="4">
                  <c:v>0.2876204765</c:v>
                </c:pt>
                <c:pt idx="5">
                  <c:v>0.289557377</c:v>
                </c:pt>
                <c:pt idx="6">
                  <c:v>0.29194907279047111</c:v>
                </c:pt>
                <c:pt idx="7">
                  <c:v>0.29434076858094221</c:v>
                </c:pt>
                <c:pt idx="8">
                  <c:v>0.27692598869917107</c:v>
                </c:pt>
                <c:pt idx="9">
                  <c:v>0.28155523617319139</c:v>
                </c:pt>
                <c:pt idx="10">
                  <c:v>0.28652997807380803</c:v>
                </c:pt>
                <c:pt idx="11">
                  <c:v>0.29150471997442468</c:v>
                </c:pt>
                <c:pt idx="12">
                  <c:v>0.29647946187504132</c:v>
                </c:pt>
                <c:pt idx="13">
                  <c:v>0.30145420377565796</c:v>
                </c:pt>
                <c:pt idx="14">
                  <c:v>0.3064289456762746</c:v>
                </c:pt>
                <c:pt idx="15">
                  <c:v>0.31140368757689124</c:v>
                </c:pt>
                <c:pt idx="16">
                  <c:v>0.31637842947750788</c:v>
                </c:pt>
                <c:pt idx="17">
                  <c:v>0.32135317137812452</c:v>
                </c:pt>
                <c:pt idx="18">
                  <c:v>0.32632791327874128</c:v>
                </c:pt>
                <c:pt idx="19">
                  <c:v>0.33453445069680765</c:v>
                </c:pt>
                <c:pt idx="20">
                  <c:v>0.34274098811487402</c:v>
                </c:pt>
                <c:pt idx="21">
                  <c:v>0.3509475255329404</c:v>
                </c:pt>
                <c:pt idx="22">
                  <c:v>0.35915406295100677</c:v>
                </c:pt>
                <c:pt idx="23">
                  <c:v>0.36736060036907314</c:v>
                </c:pt>
                <c:pt idx="24">
                  <c:v>0.37556713778713952</c:v>
                </c:pt>
                <c:pt idx="25">
                  <c:v>0.38377367520520589</c:v>
                </c:pt>
                <c:pt idx="26">
                  <c:v>0.39198021262327226</c:v>
                </c:pt>
                <c:pt idx="27">
                  <c:v>0.40018675004133863</c:v>
                </c:pt>
                <c:pt idx="28">
                  <c:v>0.40839328745940517</c:v>
                </c:pt>
                <c:pt idx="29">
                  <c:v>0.42036328334731926</c:v>
                </c:pt>
                <c:pt idx="30">
                  <c:v>0.43233327923523335</c:v>
                </c:pt>
                <c:pt idx="31">
                  <c:v>0.44430327512314743</c:v>
                </c:pt>
                <c:pt idx="32">
                  <c:v>0.45627327101106152</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FTRA!$M$117:$AS$117</c:f>
              <c:numCache>
                <c:formatCode>0.00</c:formatCode>
                <c:ptCount val="33"/>
                <c:pt idx="0">
                  <c:v>5.0361375113209643</c:v>
                </c:pt>
                <c:pt idx="1">
                  <c:v>5.3607583408806443</c:v>
                </c:pt>
                <c:pt idx="2">
                  <c:v>5.6853791704403243</c:v>
                </c:pt>
                <c:pt idx="3">
                  <c:v>6.01</c:v>
                </c:pt>
                <c:pt idx="4">
                  <c:v>6.3253919226144593</c:v>
                </c:pt>
                <c:pt idx="5">
                  <c:v>6.6407838452289196</c:v>
                </c:pt>
                <c:pt idx="6">
                  <c:v>6.0326684321693991</c:v>
                </c:pt>
                <c:pt idx="7">
                  <c:v>5.4245530191098785</c:v>
                </c:pt>
                <c:pt idx="8">
                  <c:v>5.1036073436594931</c:v>
                </c:pt>
                <c:pt idx="9">
                  <c:v>5.188922057222519</c:v>
                </c:pt>
                <c:pt idx="10">
                  <c:v>5.2806040601145563</c:v>
                </c:pt>
                <c:pt idx="11">
                  <c:v>5.3722860630065936</c:v>
                </c:pt>
                <c:pt idx="12">
                  <c:v>5.4639680658986309</c:v>
                </c:pt>
                <c:pt idx="13">
                  <c:v>5.5556500687906683</c:v>
                </c:pt>
                <c:pt idx="14">
                  <c:v>5.6473320716827056</c:v>
                </c:pt>
                <c:pt idx="15">
                  <c:v>5.7390140745747429</c:v>
                </c:pt>
                <c:pt idx="16">
                  <c:v>5.8306960774667802</c:v>
                </c:pt>
                <c:pt idx="17">
                  <c:v>5.9223780803588175</c:v>
                </c:pt>
                <c:pt idx="18">
                  <c:v>6.0140600832508548</c:v>
                </c:pt>
                <c:pt idx="19">
                  <c:v>6.1653024597053019</c:v>
                </c:pt>
                <c:pt idx="20">
                  <c:v>6.3165448361597489</c:v>
                </c:pt>
                <c:pt idx="21">
                  <c:v>6.467787212614196</c:v>
                </c:pt>
                <c:pt idx="22">
                  <c:v>6.619029589068643</c:v>
                </c:pt>
                <c:pt idx="23">
                  <c:v>6.7702719655230901</c:v>
                </c:pt>
                <c:pt idx="24">
                  <c:v>6.9215143419775371</c:v>
                </c:pt>
                <c:pt idx="25">
                  <c:v>7.0727567184319842</c:v>
                </c:pt>
                <c:pt idx="26">
                  <c:v>7.2239990948864312</c:v>
                </c:pt>
                <c:pt idx="27">
                  <c:v>7.3752414713408783</c:v>
                </c:pt>
                <c:pt idx="28">
                  <c:v>7.5264838477953289</c:v>
                </c:pt>
                <c:pt idx="29">
                  <c:v>7.7470848798764873</c:v>
                </c:pt>
                <c:pt idx="30">
                  <c:v>7.9676859119576458</c:v>
                </c:pt>
                <c:pt idx="31">
                  <c:v>8.1882869440388042</c:v>
                </c:pt>
                <c:pt idx="32">
                  <c:v>8.4088879761199617</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FTRA!$M$118:$AS$118</c:f>
              <c:numCache>
                <c:formatCode>0.00</c:formatCode>
                <c:ptCount val="33"/>
                <c:pt idx="0">
                  <c:v>1.5653068685251963</c:v>
                </c:pt>
                <c:pt idx="1">
                  <c:v>1.6102045790167996</c:v>
                </c:pt>
                <c:pt idx="2">
                  <c:v>1.6551022895084029</c:v>
                </c:pt>
                <c:pt idx="3">
                  <c:v>1.7</c:v>
                </c:pt>
                <c:pt idx="4">
                  <c:v>1.74</c:v>
                </c:pt>
                <c:pt idx="5">
                  <c:v>1.78</c:v>
                </c:pt>
                <c:pt idx="6">
                  <c:v>1.7330161091118188</c:v>
                </c:pt>
                <c:pt idx="7">
                  <c:v>1.6860322182236378</c:v>
                </c:pt>
                <c:pt idx="8">
                  <c:v>1.5862775016225472</c:v>
                </c:pt>
                <c:pt idx="9">
                  <c:v>1.6127945907263026</c:v>
                </c:pt>
                <c:pt idx="10">
                  <c:v>1.6412907285947482</c:v>
                </c:pt>
                <c:pt idx="11">
                  <c:v>1.6697868664631939</c:v>
                </c:pt>
                <c:pt idx="12">
                  <c:v>1.6982830043316395</c:v>
                </c:pt>
                <c:pt idx="13">
                  <c:v>1.7267791422000851</c:v>
                </c:pt>
                <c:pt idx="14">
                  <c:v>1.7552752800685307</c:v>
                </c:pt>
                <c:pt idx="15">
                  <c:v>1.7837714179369764</c:v>
                </c:pt>
                <c:pt idx="16">
                  <c:v>1.812267555805422</c:v>
                </c:pt>
                <c:pt idx="17">
                  <c:v>1.8407636936738676</c:v>
                </c:pt>
                <c:pt idx="18">
                  <c:v>1.8692598315423128</c:v>
                </c:pt>
                <c:pt idx="19">
                  <c:v>1.9162682244116573</c:v>
                </c:pt>
                <c:pt idx="20">
                  <c:v>1.9632766172810019</c:v>
                </c:pt>
                <c:pt idx="21">
                  <c:v>2.0102850101503464</c:v>
                </c:pt>
                <c:pt idx="22">
                  <c:v>2.057293403019691</c:v>
                </c:pt>
                <c:pt idx="23">
                  <c:v>2.1043017958890355</c:v>
                </c:pt>
                <c:pt idx="24">
                  <c:v>2.1513101887583801</c:v>
                </c:pt>
                <c:pt idx="25">
                  <c:v>2.1983185816277246</c:v>
                </c:pt>
                <c:pt idx="26">
                  <c:v>2.2453269744970692</c:v>
                </c:pt>
                <c:pt idx="27">
                  <c:v>2.2923353673664137</c:v>
                </c:pt>
                <c:pt idx="28">
                  <c:v>2.3393437602357583</c:v>
                </c:pt>
                <c:pt idx="29">
                  <c:v>2.4079098607332425</c:v>
                </c:pt>
                <c:pt idx="30">
                  <c:v>2.4764759612307268</c:v>
                </c:pt>
                <c:pt idx="31">
                  <c:v>2.545042061728211</c:v>
                </c:pt>
                <c:pt idx="32">
                  <c:v>2.6136081622256953</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FTRA!$M$119:$AS$119</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8.2521562368481099E-2</c:v>
                </c:pt>
                <c:pt idx="7">
                  <c:v>6.29969412856662E-2</c:v>
                </c:pt>
                <c:pt idx="8">
                  <c:v>5.9269704073492357E-2</c:v>
                </c:pt>
                <c:pt idx="9">
                  <c:v>6.0260489117384367E-2</c:v>
                </c:pt>
                <c:pt idx="10">
                  <c:v>6.1325219378623425E-2</c:v>
                </c:pt>
                <c:pt idx="11">
                  <c:v>6.2389949639862483E-2</c:v>
                </c:pt>
                <c:pt idx="12">
                  <c:v>6.3454679901101541E-2</c:v>
                </c:pt>
                <c:pt idx="13">
                  <c:v>6.4519410162340599E-2</c:v>
                </c:pt>
                <c:pt idx="14">
                  <c:v>6.5584140423579657E-2</c:v>
                </c:pt>
                <c:pt idx="15">
                  <c:v>6.6648870684818715E-2</c:v>
                </c:pt>
                <c:pt idx="16">
                  <c:v>6.7713600946057773E-2</c:v>
                </c:pt>
                <c:pt idx="17">
                  <c:v>6.8778331207296831E-2</c:v>
                </c:pt>
                <c:pt idx="18">
                  <c:v>6.9843061468535861E-2</c:v>
                </c:pt>
                <c:pt idx="19">
                  <c:v>7.1599483993274843E-2</c:v>
                </c:pt>
                <c:pt idx="20">
                  <c:v>7.3355906518013825E-2</c:v>
                </c:pt>
                <c:pt idx="21">
                  <c:v>7.5112329042752807E-2</c:v>
                </c:pt>
                <c:pt idx="22">
                  <c:v>7.6868751567491789E-2</c:v>
                </c:pt>
                <c:pt idx="23">
                  <c:v>7.8625174092230771E-2</c:v>
                </c:pt>
                <c:pt idx="24">
                  <c:v>8.0381596616969753E-2</c:v>
                </c:pt>
                <c:pt idx="25">
                  <c:v>8.2138019141708735E-2</c:v>
                </c:pt>
                <c:pt idx="26">
                  <c:v>8.3894441666447717E-2</c:v>
                </c:pt>
                <c:pt idx="27">
                  <c:v>8.5650864191186699E-2</c:v>
                </c:pt>
                <c:pt idx="28">
                  <c:v>8.7407286715925681E-2</c:v>
                </c:pt>
                <c:pt idx="29">
                  <c:v>8.9969191856610342E-2</c:v>
                </c:pt>
                <c:pt idx="30">
                  <c:v>9.2531096997295004E-2</c:v>
                </c:pt>
                <c:pt idx="31">
                  <c:v>9.5093002137979665E-2</c:v>
                </c:pt>
                <c:pt idx="32">
                  <c:v>9.7654907278664327E-2</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FTRA!$M$120:$AS$120</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3.2861518920469207E-2</c:v>
                </c:pt>
                <c:pt idx="7">
                  <c:v>4.3052037840938417E-2</c:v>
                </c:pt>
                <c:pt idx="8">
                  <c:v>4.0504848180205263E-2</c:v>
                </c:pt>
                <c:pt idx="9">
                  <c:v>4.1181949549436034E-2</c:v>
                </c:pt>
                <c:pt idx="10">
                  <c:v>4.1909584995884062E-2</c:v>
                </c:pt>
                <c:pt idx="11">
                  <c:v>4.2637220442332091E-2</c:v>
                </c:pt>
                <c:pt idx="12">
                  <c:v>4.336485588878012E-2</c:v>
                </c:pt>
                <c:pt idx="13">
                  <c:v>4.4092491335228148E-2</c:v>
                </c:pt>
                <c:pt idx="14">
                  <c:v>4.4820126781676177E-2</c:v>
                </c:pt>
                <c:pt idx="15">
                  <c:v>4.5547762228124206E-2</c:v>
                </c:pt>
                <c:pt idx="16">
                  <c:v>4.6275397674572234E-2</c:v>
                </c:pt>
                <c:pt idx="17">
                  <c:v>4.7003033121020263E-2</c:v>
                </c:pt>
                <c:pt idx="18">
                  <c:v>4.7730668567468298E-2</c:v>
                </c:pt>
                <c:pt idx="19">
                  <c:v>4.8931005718074447E-2</c:v>
                </c:pt>
                <c:pt idx="20">
                  <c:v>5.0131342868680595E-2</c:v>
                </c:pt>
                <c:pt idx="21">
                  <c:v>5.1331680019286743E-2</c:v>
                </c:pt>
                <c:pt idx="22">
                  <c:v>5.2532017169892892E-2</c:v>
                </c:pt>
                <c:pt idx="23">
                  <c:v>5.373235432049904E-2</c:v>
                </c:pt>
                <c:pt idx="24">
                  <c:v>5.4932691471105188E-2</c:v>
                </c:pt>
                <c:pt idx="25">
                  <c:v>5.6133028621711337E-2</c:v>
                </c:pt>
                <c:pt idx="26">
                  <c:v>5.7333365772317485E-2</c:v>
                </c:pt>
                <c:pt idx="27">
                  <c:v>5.8533702922923633E-2</c:v>
                </c:pt>
                <c:pt idx="28">
                  <c:v>5.9734040073529761E-2</c:v>
                </c:pt>
                <c:pt idx="29">
                  <c:v>6.1484843125403428E-2</c:v>
                </c:pt>
                <c:pt idx="30">
                  <c:v>6.3235646177277102E-2</c:v>
                </c:pt>
                <c:pt idx="31">
                  <c:v>6.4986449229150769E-2</c:v>
                </c:pt>
                <c:pt idx="32">
                  <c:v>6.6737252281024437E-2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FTRA!$M$121:$AS$121</c:f>
              <c:numCache>
                <c:formatCode>0.00</c:formatCode>
                <c:ptCount val="33"/>
                <c:pt idx="0">
                  <c:v>22</c:v>
                </c:pt>
                <c:pt idx="1">
                  <c:v>22.352445526032646</c:v>
                </c:pt>
                <c:pt idx="2">
                  <c:v>22.704891052065292</c:v>
                </c:pt>
                <c:pt idx="3">
                  <c:v>23.057336578097942</c:v>
                </c:pt>
                <c:pt idx="4">
                  <c:v>23.249070137552067</c:v>
                </c:pt>
                <c:pt idx="5">
                  <c:v>23.440803697006192</c:v>
                </c:pt>
                <c:pt idx="6">
                  <c:v>23.568784279696359</c:v>
                </c:pt>
                <c:pt idx="7">
                  <c:v>23.696764862386523</c:v>
                </c:pt>
                <c:pt idx="8">
                  <c:v>22.294737049596232</c:v>
                </c:pt>
                <c:pt idx="9">
                  <c:v>22.667428163404651</c:v>
                </c:pt>
                <c:pt idx="10">
                  <c:v>23.0679343169977</c:v>
                </c:pt>
                <c:pt idx="11">
                  <c:v>23.46844047059075</c:v>
                </c:pt>
                <c:pt idx="12">
                  <c:v>23.868946624183799</c:v>
                </c:pt>
                <c:pt idx="13">
                  <c:v>24.269452777776849</c:v>
                </c:pt>
                <c:pt idx="14">
                  <c:v>24.669958931369898</c:v>
                </c:pt>
                <c:pt idx="15">
                  <c:v>25.070465084962947</c:v>
                </c:pt>
                <c:pt idx="16">
                  <c:v>25.470971238555997</c:v>
                </c:pt>
                <c:pt idx="17">
                  <c:v>25.871477392149046</c:v>
                </c:pt>
                <c:pt idx="18">
                  <c:v>26.271983545742081</c:v>
                </c:pt>
                <c:pt idx="19">
                  <c:v>26.932674854213737</c:v>
                </c:pt>
                <c:pt idx="20">
                  <c:v>27.593366162685392</c:v>
                </c:pt>
                <c:pt idx="21">
                  <c:v>28.254057471157047</c:v>
                </c:pt>
                <c:pt idx="22">
                  <c:v>28.914748779628702</c:v>
                </c:pt>
                <c:pt idx="23">
                  <c:v>29.575440088100358</c:v>
                </c:pt>
                <c:pt idx="24">
                  <c:v>30.236131396572013</c:v>
                </c:pt>
                <c:pt idx="25">
                  <c:v>30.896822705043668</c:v>
                </c:pt>
                <c:pt idx="26">
                  <c:v>31.557514013515323</c:v>
                </c:pt>
                <c:pt idx="27">
                  <c:v>32.218205321986979</c:v>
                </c:pt>
                <c:pt idx="28">
                  <c:v>32.878896630458648</c:v>
                </c:pt>
                <c:pt idx="29">
                  <c:v>33.842576175521842</c:v>
                </c:pt>
                <c:pt idx="30">
                  <c:v>34.806255720585035</c:v>
                </c:pt>
                <c:pt idx="31">
                  <c:v>35.769935265648229</c:v>
                </c:pt>
                <c:pt idx="32">
                  <c:v>36.733614810711423</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FTRA!$M$122:$AS$122</c:f>
              <c:numCache>
                <c:formatCode>0.00</c:formatCode>
                <c:ptCount val="33"/>
                <c:pt idx="0">
                  <c:v>25.1</c:v>
                </c:pt>
                <c:pt idx="1">
                  <c:v>25.502108304700894</c:v>
                </c:pt>
                <c:pt idx="2">
                  <c:v>25.904216609401786</c:v>
                </c:pt>
                <c:pt idx="3">
                  <c:v>26.306324914102674</c:v>
                </c:pt>
                <c:pt idx="4">
                  <c:v>26.525075475116246</c:v>
                </c:pt>
                <c:pt idx="5">
                  <c:v>26.743826036129814</c:v>
                </c:pt>
                <c:pt idx="6">
                  <c:v>26.889840246380864</c:v>
                </c:pt>
                <c:pt idx="7">
                  <c:v>27.035854456631917</c:v>
                </c:pt>
                <c:pt idx="8">
                  <c:v>25.436268179312091</c:v>
                </c:pt>
                <c:pt idx="9">
                  <c:v>25.861474859157145</c:v>
                </c:pt>
                <c:pt idx="10">
                  <c:v>26.318415970756487</c:v>
                </c:pt>
                <c:pt idx="11">
                  <c:v>26.775357082355828</c:v>
                </c:pt>
                <c:pt idx="12">
                  <c:v>27.23229819395517</c:v>
                </c:pt>
                <c:pt idx="13">
                  <c:v>27.689239305554512</c:v>
                </c:pt>
                <c:pt idx="14">
                  <c:v>28.146180417153854</c:v>
                </c:pt>
                <c:pt idx="15">
                  <c:v>28.603121528753196</c:v>
                </c:pt>
                <c:pt idx="16">
                  <c:v>29.060062640352537</c:v>
                </c:pt>
                <c:pt idx="17">
                  <c:v>29.517003751951879</c:v>
                </c:pt>
                <c:pt idx="18">
                  <c:v>29.973944863551218</c:v>
                </c:pt>
                <c:pt idx="19">
                  <c:v>30.727733583671153</c:v>
                </c:pt>
                <c:pt idx="20">
                  <c:v>31.481522303791088</c:v>
                </c:pt>
                <c:pt idx="21">
                  <c:v>32.235311023911024</c:v>
                </c:pt>
                <c:pt idx="22">
                  <c:v>32.989099744030959</c:v>
                </c:pt>
                <c:pt idx="23">
                  <c:v>33.742888464150894</c:v>
                </c:pt>
                <c:pt idx="24">
                  <c:v>34.49667718427083</c:v>
                </c:pt>
                <c:pt idx="25">
                  <c:v>35.250465904390765</c:v>
                </c:pt>
                <c:pt idx="26">
                  <c:v>36.0042546245107</c:v>
                </c:pt>
                <c:pt idx="27">
                  <c:v>36.758043344630636</c:v>
                </c:pt>
                <c:pt idx="28">
                  <c:v>37.511832064750571</c:v>
                </c:pt>
                <c:pt idx="29">
                  <c:v>38.611302818436307</c:v>
                </c:pt>
                <c:pt idx="30">
                  <c:v>39.710773572122044</c:v>
                </c:pt>
                <c:pt idx="31">
                  <c:v>40.81024432580778</c:v>
                </c:pt>
                <c:pt idx="32">
                  <c:v>41.909715079493516</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FTRA!$M$123:$AS$123</c:f>
              <c:numCache>
                <c:formatCode>0.00</c:formatCode>
                <c:ptCount val="33"/>
                <c:pt idx="0">
                  <c:v>82</c:v>
                </c:pt>
                <c:pt idx="1">
                  <c:v>82</c:v>
                </c:pt>
                <c:pt idx="2">
                  <c:v>82</c:v>
                </c:pt>
                <c:pt idx="3">
                  <c:v>82</c:v>
                </c:pt>
                <c:pt idx="4">
                  <c:v>82</c:v>
                </c:pt>
                <c:pt idx="5">
                  <c:v>82</c:v>
                </c:pt>
                <c:pt idx="6">
                  <c:v>82.736172776937963</c:v>
                </c:pt>
                <c:pt idx="7">
                  <c:v>83.472345553875911</c:v>
                </c:pt>
                <c:pt idx="8">
                  <c:v>75.296230147600639</c:v>
                </c:pt>
                <c:pt idx="9">
                  <c:v>79.105852655656577</c:v>
                </c:pt>
                <c:pt idx="10">
                  <c:v>80.098633146166861</c:v>
                </c:pt>
                <c:pt idx="11">
                  <c:v>81.091413636677146</c:v>
                </c:pt>
                <c:pt idx="12">
                  <c:v>82.08419412718743</c:v>
                </c:pt>
                <c:pt idx="13">
                  <c:v>83.076974617697715</c:v>
                </c:pt>
                <c:pt idx="14">
                  <c:v>84.069755108208</c:v>
                </c:pt>
                <c:pt idx="15">
                  <c:v>85.062535598718284</c:v>
                </c:pt>
                <c:pt idx="16">
                  <c:v>86.055316089228569</c:v>
                </c:pt>
                <c:pt idx="17">
                  <c:v>87.048096579738854</c:v>
                </c:pt>
                <c:pt idx="18">
                  <c:v>88.040877070249081</c:v>
                </c:pt>
                <c:pt idx="19">
                  <c:v>89.889451104345511</c:v>
                </c:pt>
                <c:pt idx="20">
                  <c:v>91.738025138441941</c:v>
                </c:pt>
                <c:pt idx="21">
                  <c:v>93.586599172538371</c:v>
                </c:pt>
                <c:pt idx="22">
                  <c:v>95.435173206634801</c:v>
                </c:pt>
                <c:pt idx="23">
                  <c:v>97.28374724073123</c:v>
                </c:pt>
                <c:pt idx="24">
                  <c:v>99.13232127482766</c:v>
                </c:pt>
                <c:pt idx="25">
                  <c:v>100.98089530892409</c:v>
                </c:pt>
                <c:pt idx="26">
                  <c:v>102.82946934302052</c:v>
                </c:pt>
                <c:pt idx="27">
                  <c:v>104.67804337711695</c:v>
                </c:pt>
                <c:pt idx="28">
                  <c:v>106.52661741121335</c:v>
                </c:pt>
                <c:pt idx="29">
                  <c:v>108.83266535327128</c:v>
                </c:pt>
                <c:pt idx="30">
                  <c:v>111.13871329532921</c:v>
                </c:pt>
                <c:pt idx="31">
                  <c:v>113.44476123738714</c:v>
                </c:pt>
                <c:pt idx="32">
                  <c:v>115.75080917944507</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PTRA!$E$13:$M$13</c:f>
              <c:numCache>
                <c:formatCode>0.00</c:formatCode>
                <c:ptCount val="9"/>
                <c:pt idx="0">
                  <c:v>26.164390783448656</c:v>
                </c:pt>
                <c:pt idx="1">
                  <c:v>26.360993218184007</c:v>
                </c:pt>
                <c:pt idx="2">
                  <c:v>26.578764727799523</c:v>
                </c:pt>
                <c:pt idx="3">
                  <c:v>26.911307025844376</c:v>
                </c:pt>
                <c:pt idx="4">
                  <c:v>28.111589337230718</c:v>
                </c:pt>
                <c:pt idx="5">
                  <c:v>29.277268001984922</c:v>
                </c:pt>
                <c:pt idx="6">
                  <c:v>27.84457886154026</c:v>
                </c:pt>
                <c:pt idx="7">
                  <c:v>23.986195872849844</c:v>
                </c:pt>
                <c:pt idx="8">
                  <c:v>19.593316062021987</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PTRA!$E$14:$M$14</c:f>
              <c:numCache>
                <c:formatCode>0.00</c:formatCode>
                <c:ptCount val="9"/>
                <c:pt idx="0">
                  <c:v>15.698634470069196</c:v>
                </c:pt>
                <c:pt idx="1">
                  <c:v>16.60012737178209</c:v>
                </c:pt>
                <c:pt idx="2">
                  <c:v>17.298814732088275</c:v>
                </c:pt>
                <c:pt idx="3">
                  <c:v>18.226385675800731</c:v>
                </c:pt>
                <c:pt idx="4">
                  <c:v>19.201285369797056</c:v>
                </c:pt>
                <c:pt idx="5">
                  <c:v>18.406399362296234</c:v>
                </c:pt>
                <c:pt idx="6">
                  <c:v>21.41729290657965</c:v>
                </c:pt>
                <c:pt idx="7">
                  <c:v>24.674136706158219</c:v>
                </c:pt>
                <c:pt idx="8">
                  <c:v>27.322481569655267</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PTRA!$E$15:$M$15</c:f>
              <c:numCache>
                <c:formatCode>0.00</c:formatCode>
                <c:ptCount val="9"/>
                <c:pt idx="0">
                  <c:v>10.46240762855223</c:v>
                </c:pt>
                <c:pt idx="1">
                  <c:v>11.789370867355018</c:v>
                </c:pt>
                <c:pt idx="2">
                  <c:v>12.644368581760297</c:v>
                </c:pt>
                <c:pt idx="3">
                  <c:v>13.227142220174334</c:v>
                </c:pt>
                <c:pt idx="4">
                  <c:v>11.995815292972233</c:v>
                </c:pt>
                <c:pt idx="5">
                  <c:v>12.307913084923102</c:v>
                </c:pt>
                <c:pt idx="6">
                  <c:v>16.694218231880097</c:v>
                </c:pt>
                <c:pt idx="7">
                  <c:v>22.714973420991928</c:v>
                </c:pt>
                <c:pt idx="8">
                  <c:v>28.602111368322735</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PTRA!$O$54:$AE$54</c:f>
              <c:numCache>
                <c:formatCode>0.00</c:formatCode>
                <c:ptCount val="17"/>
                <c:pt idx="0">
                  <c:v>0.13180496609092004</c:v>
                </c:pt>
                <c:pt idx="1">
                  <c:v>0.13289382363899763</c:v>
                </c:pt>
                <c:pt idx="2">
                  <c:v>0.13455653512922189</c:v>
                </c:pt>
                <c:pt idx="3">
                  <c:v>0.1405579466861536</c:v>
                </c:pt>
                <c:pt idx="4">
                  <c:v>0.14638634000992462</c:v>
                </c:pt>
                <c:pt idx="5">
                  <c:v>0.13922289430770129</c:v>
                </c:pt>
                <c:pt idx="6">
                  <c:v>0.11993097936424922</c:v>
                </c:pt>
                <c:pt idx="7">
                  <c:v>9.7966580310109935E-2</c:v>
                </c:pt>
                <c:pt idx="9">
                  <c:v>0.13180496609092004</c:v>
                </c:pt>
                <c:pt idx="10">
                  <c:v>0.13289382363899763</c:v>
                </c:pt>
                <c:pt idx="11">
                  <c:v>0.13455653512922189</c:v>
                </c:pt>
                <c:pt idx="12">
                  <c:v>0.1405579466861536</c:v>
                </c:pt>
                <c:pt idx="13">
                  <c:v>0.14638634000992462</c:v>
                </c:pt>
                <c:pt idx="14">
                  <c:v>0.33065437398079062</c:v>
                </c:pt>
                <c:pt idx="15">
                  <c:v>0.21647541775246984</c:v>
                </c:pt>
                <c:pt idx="16">
                  <c:v>0.16798819358676101</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PTRA!$O$55:$AE$55</c:f>
              <c:numCache>
                <c:formatCode>0.00</c:formatCode>
                <c:ptCount val="17"/>
                <c:pt idx="0">
                  <c:v>2.7548189679355337</c:v>
                </c:pt>
                <c:pt idx="1">
                  <c:v>2.8707673067476867</c:v>
                </c:pt>
                <c:pt idx="2">
                  <c:v>3.0246992599559843</c:v>
                </c:pt>
                <c:pt idx="3">
                  <c:v>3.1864854986218929</c:v>
                </c:pt>
                <c:pt idx="4">
                  <c:v>3.0545728330280069</c:v>
                </c:pt>
                <c:pt idx="5">
                  <c:v>3.5542356645509767</c:v>
                </c:pt>
                <c:pt idx="6">
                  <c:v>4.0947143532828152</c:v>
                </c:pt>
                <c:pt idx="7">
                  <c:v>4.5342116234060548</c:v>
                </c:pt>
                <c:pt idx="9">
                  <c:v>2.7548189679355337</c:v>
                </c:pt>
                <c:pt idx="10">
                  <c:v>2.8707673067476867</c:v>
                </c:pt>
                <c:pt idx="11">
                  <c:v>3.0246992599559843</c:v>
                </c:pt>
                <c:pt idx="12">
                  <c:v>3.1864854986218929</c:v>
                </c:pt>
                <c:pt idx="13">
                  <c:v>3.0545728330280069</c:v>
                </c:pt>
                <c:pt idx="14">
                  <c:v>3.207697687257256</c:v>
                </c:pt>
                <c:pt idx="15">
                  <c:v>3.5107057186458523</c:v>
                </c:pt>
                <c:pt idx="16">
                  <c:v>3.5084865207825326</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PTRA!$O$56:$AE$56</c:f>
              <c:numCache>
                <c:formatCode>0.00</c:formatCode>
                <c:ptCount val="17"/>
                <c:pt idx="0">
                  <c:v>3.7384287562127883</c:v>
                </c:pt>
                <c:pt idx="1">
                  <c:v>4.0095499278165798</c:v>
                </c:pt>
                <c:pt idx="2">
                  <c:v>4.194348400332407</c:v>
                </c:pt>
                <c:pt idx="3">
                  <c:v>3.7584536303869847</c:v>
                </c:pt>
                <c:pt idx="4">
                  <c:v>3.9068007168212775</c:v>
                </c:pt>
                <c:pt idx="5">
                  <c:v>5.3959374629299264</c:v>
                </c:pt>
                <c:pt idx="6">
                  <c:v>7.7742596626883973</c:v>
                </c:pt>
                <c:pt idx="7">
                  <c:v>10.451198908779302</c:v>
                </c:pt>
                <c:pt idx="9">
                  <c:v>3.7384287562127883</c:v>
                </c:pt>
                <c:pt idx="10">
                  <c:v>4.0095499278165798</c:v>
                </c:pt>
                <c:pt idx="11">
                  <c:v>4.194348400332407</c:v>
                </c:pt>
                <c:pt idx="12">
                  <c:v>3.7584536303869847</c:v>
                </c:pt>
                <c:pt idx="13">
                  <c:v>3.9068007168212775</c:v>
                </c:pt>
                <c:pt idx="14">
                  <c:v>4.9722704697880955</c:v>
                </c:pt>
                <c:pt idx="15">
                  <c:v>6.4314681354620031</c:v>
                </c:pt>
                <c:pt idx="16">
                  <c:v>7.6984840447579925</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PTRA!$O$57:$AE$57</c:f>
              <c:numCache>
                <c:formatCode>0.00</c:formatCode>
                <c:ptCount val="17"/>
                <c:pt idx="0">
                  <c:v>0.46210357112254363</c:v>
                </c:pt>
                <c:pt idx="1">
                  <c:v>0.46691180750353573</c:v>
                </c:pt>
                <c:pt idx="2">
                  <c:v>0.47010048898315682</c:v>
                </c:pt>
                <c:pt idx="3">
                  <c:v>0.45284634822306574</c:v>
                </c:pt>
                <c:pt idx="4">
                  <c:v>0.45758056160160959</c:v>
                </c:pt>
                <c:pt idx="5">
                  <c:v>0.50382178340331718</c:v>
                </c:pt>
                <c:pt idx="6">
                  <c:v>0.5850991700851057</c:v>
                </c:pt>
                <c:pt idx="7">
                  <c:v>0.69554198454893268</c:v>
                </c:pt>
                <c:pt idx="9">
                  <c:v>0.46210357112254363</c:v>
                </c:pt>
                <c:pt idx="10">
                  <c:v>0.46691180750353573</c:v>
                </c:pt>
                <c:pt idx="11">
                  <c:v>0.47010048898315682</c:v>
                </c:pt>
                <c:pt idx="12">
                  <c:v>0.45284634822306574</c:v>
                </c:pt>
                <c:pt idx="13">
                  <c:v>0.45758056160160959</c:v>
                </c:pt>
                <c:pt idx="14">
                  <c:v>0.50430020366253359</c:v>
                </c:pt>
                <c:pt idx="15">
                  <c:v>0.56938385666365487</c:v>
                </c:pt>
                <c:pt idx="16">
                  <c:v>0.63386969994152731</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124.74168661290844</c:v>
                </c:pt>
                <c:pt idx="1">
                  <c:v>130.93637012428951</c:v>
                </c:pt>
                <c:pt idx="2">
                  <c:v>136.97946138100227</c:v>
                </c:pt>
                <c:pt idx="3">
                  <c:v>131.24527161983636</c:v>
                </c:pt>
                <c:pt idx="4">
                  <c:v>131.99832253897941</c:v>
                </c:pt>
                <c:pt idx="5">
                  <c:v>168.71832715512397</c:v>
                </c:pt>
                <c:pt idx="6">
                  <c:v>223.19829279233778</c:v>
                </c:pt>
                <c:pt idx="7">
                  <c:v>282.06712972207947</c:v>
                </c:pt>
                <c:pt idx="9">
                  <c:v>124.74168661290844</c:v>
                </c:pt>
                <c:pt idx="10">
                  <c:v>130.93637012428951</c:v>
                </c:pt>
                <c:pt idx="11">
                  <c:v>136.97946138100227</c:v>
                </c:pt>
                <c:pt idx="12">
                  <c:v>131.24527161983636</c:v>
                </c:pt>
                <c:pt idx="13">
                  <c:v>131.99832253897941</c:v>
                </c:pt>
                <c:pt idx="14">
                  <c:v>#N/A</c:v>
                </c:pt>
                <c:pt idx="15">
                  <c:v>#N/A</c:v>
                </c:pt>
                <c:pt idx="16">
                  <c:v>#N/A</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14.323024052286286</c:v>
                </c:pt>
                <c:pt idx="1">
                  <c:v>14.966627418102105</c:v>
                </c:pt>
                <c:pt idx="2">
                  <c:v>15.657380454916529</c:v>
                </c:pt>
                <c:pt idx="3">
                  <c:v>15.001936275284839</c:v>
                </c:pt>
                <c:pt idx="4">
                  <c:v>15.088013447906739</c:v>
                </c:pt>
                <c:pt idx="5">
                  <c:v>19.285278328238682</c:v>
                </c:pt>
                <c:pt idx="6">
                  <c:v>25.512588178581986</c:v>
                </c:pt>
                <c:pt idx="7">
                  <c:v>32.241566139618421</c:v>
                </c:pt>
                <c:pt idx="9">
                  <c:v>14.323024052286286</c:v>
                </c:pt>
                <c:pt idx="10">
                  <c:v>14.966627418102105</c:v>
                </c:pt>
                <c:pt idx="11">
                  <c:v>15.657380454916529</c:v>
                </c:pt>
                <c:pt idx="12">
                  <c:v>15.001936275284839</c:v>
                </c:pt>
                <c:pt idx="13">
                  <c:v>15.088013447906739</c:v>
                </c:pt>
                <c:pt idx="14">
                  <c:v>#N/A</c:v>
                </c:pt>
                <c:pt idx="15">
                  <c:v>#N/A</c:v>
                </c:pt>
                <c:pt idx="16">
                  <c:v>#N/A</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4.3184163226346879</c:v>
                </c:pt>
                <c:pt idx="1">
                  <c:v>4.512463841517266</c:v>
                </c:pt>
                <c:pt idx="2">
                  <c:v>4.7207270670902721</c:v>
                </c:pt>
                <c:pt idx="3">
                  <c:v>4.5231095225295217</c:v>
                </c:pt>
                <c:pt idx="4">
                  <c:v>4.5490619377387471</c:v>
                </c:pt>
                <c:pt idx="5">
                  <c:v>5.8145444994854429</c:v>
                </c:pt>
                <c:pt idx="6">
                  <c:v>7.6920891021933953</c:v>
                </c:pt>
                <c:pt idx="7">
                  <c:v>9.7208875008772537</c:v>
                </c:pt>
                <c:pt idx="9">
                  <c:v>4.3184163226346879</c:v>
                </c:pt>
                <c:pt idx="10">
                  <c:v>4.512463841517266</c:v>
                </c:pt>
                <c:pt idx="11">
                  <c:v>4.7207270670902721</c:v>
                </c:pt>
                <c:pt idx="12">
                  <c:v>4.5231095225295217</c:v>
                </c:pt>
                <c:pt idx="13">
                  <c:v>4.5490619377387471</c:v>
                </c:pt>
                <c:pt idx="14">
                  <c:v>#N/A</c:v>
                </c:pt>
                <c:pt idx="15">
                  <c:v>#N/A</c:v>
                </c:pt>
                <c:pt idx="16">
                  <c:v>#N/A</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27.514371206361059</c:v>
                </c:pt>
                <c:pt idx="1">
                  <c:v>19.027595375159127</c:v>
                </c:pt>
                <c:pt idx="2">
                  <c:v>19.472083323660495</c:v>
                </c:pt>
                <c:pt idx="3">
                  <c:v>20.131536676279602</c:v>
                </c:pt>
                <c:pt idx="4">
                  <c:v>19.966021474299041</c:v>
                </c:pt>
                <c:pt idx="5">
                  <c:v>20.304269560519167</c:v>
                </c:pt>
                <c:pt idx="6">
                  <c:v>19.069068969057717</c:v>
                </c:pt>
                <c:pt idx="7">
                  <c:v>17.178710981229319</c:v>
                </c:pt>
                <c:pt idx="9">
                  <c:v>27.514371206361059</c:v>
                </c:pt>
                <c:pt idx="10">
                  <c:v>19.027595375159127</c:v>
                </c:pt>
                <c:pt idx="11">
                  <c:v>19.472083323660495</c:v>
                </c:pt>
                <c:pt idx="12">
                  <c:v>20.131536676279602</c:v>
                </c:pt>
                <c:pt idx="13">
                  <c:v>19.966021474299041</c:v>
                </c:pt>
                <c:pt idx="14">
                  <c:v>#N/A</c:v>
                </c:pt>
                <c:pt idx="15">
                  <c:v>#N/A</c:v>
                </c:pt>
                <c:pt idx="16">
                  <c:v>#N/A</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95.37878219517394</c:v>
                </c:pt>
                <c:pt idx="1">
                  <c:v>100.66626472128105</c:v>
                </c:pt>
                <c:pt idx="2">
                  <c:v>103.01784623260926</c:v>
                </c:pt>
                <c:pt idx="3">
                  <c:v>106.50671092923601</c:v>
                </c:pt>
                <c:pt idx="4">
                  <c:v>105.63104604308211</c:v>
                </c:pt>
                <c:pt idx="5">
                  <c:v>107.4205612559899</c:v>
                </c:pt>
                <c:pt idx="6">
                  <c:v>100.88568245116346</c:v>
                </c:pt>
                <c:pt idx="7">
                  <c:v>90.884666880422685</c:v>
                </c:pt>
                <c:pt idx="9">
                  <c:v>95.37878219517394</c:v>
                </c:pt>
                <c:pt idx="10">
                  <c:v>100.66626472128105</c:v>
                </c:pt>
                <c:pt idx="11">
                  <c:v>103.01784623260926</c:v>
                </c:pt>
                <c:pt idx="12">
                  <c:v>106.50671092923601</c:v>
                </c:pt>
                <c:pt idx="13">
                  <c:v>105.63104604308211</c:v>
                </c:pt>
                <c:pt idx="14">
                  <c:v>#N/A</c:v>
                </c:pt>
                <c:pt idx="15">
                  <c:v>#N/A</c:v>
                </c:pt>
                <c:pt idx="16">
                  <c:v>#N/A</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0.78174288817735449</c:v>
                </c:pt>
                <c:pt idx="1">
                  <c:v>1.5729957652498918</c:v>
                </c:pt>
                <c:pt idx="2">
                  <c:v>2.5389921778628719</c:v>
                </c:pt>
                <c:pt idx="3">
                  <c:v>2.6062673324390282</c:v>
                </c:pt>
                <c:pt idx="4">
                  <c:v>7.3436313525543344</c:v>
                </c:pt>
                <c:pt idx="5">
                  <c:v>14.194584018267442</c:v>
                </c:pt>
                <c:pt idx="6">
                  <c:v>26.985379554214141</c:v>
                </c:pt>
                <c:pt idx="7">
                  <c:v>38.864362968764894</c:v>
                </c:pt>
                <c:pt idx="9">
                  <c:v>0.78174288817735449</c:v>
                </c:pt>
                <c:pt idx="10">
                  <c:v>1.5729957652498918</c:v>
                </c:pt>
                <c:pt idx="11">
                  <c:v>2.5389921778628719</c:v>
                </c:pt>
                <c:pt idx="12">
                  <c:v>2.6062673324390282</c:v>
                </c:pt>
                <c:pt idx="13">
                  <c:v>7.3436313525543344</c:v>
                </c:pt>
                <c:pt idx="14">
                  <c:v>#N/A</c:v>
                </c:pt>
                <c:pt idx="15">
                  <c:v>#N/A</c:v>
                </c:pt>
                <c:pt idx="16">
                  <c:v>#N/A</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12.045661044795077</c:v>
                </c:pt>
                <c:pt idx="1">
                  <c:v>8.8709735194998576</c:v>
                </c:pt>
                <c:pt idx="2">
                  <c:v>9.0782010090038749</c:v>
                </c:pt>
                <c:pt idx="3">
                  <c:v>9.3856488558330522</c:v>
                </c:pt>
                <c:pt idx="4">
                  <c:v>9.3084829846394115</c:v>
                </c:pt>
                <c:pt idx="5">
                  <c:v>9.4661797275393322</c:v>
                </c:pt>
                <c:pt idx="6">
                  <c:v>8.8903091815201449</c:v>
                </c:pt>
                <c:pt idx="7">
                  <c:v>8.0089936331406903</c:v>
                </c:pt>
                <c:pt idx="9">
                  <c:v>12.045661044795077</c:v>
                </c:pt>
                <c:pt idx="10">
                  <c:v>8.8709735194998576</c:v>
                </c:pt>
                <c:pt idx="11">
                  <c:v>9.0782010090038749</c:v>
                </c:pt>
                <c:pt idx="12">
                  <c:v>9.3856488558330522</c:v>
                </c:pt>
                <c:pt idx="13">
                  <c:v>9.3084829846394115</c:v>
                </c:pt>
                <c:pt idx="14">
                  <c:v>#N/A</c:v>
                </c:pt>
                <c:pt idx="15">
                  <c:v>#N/A</c:v>
                </c:pt>
                <c:pt idx="16">
                  <c:v>#N/A</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0.58840536503250629</c:v>
                </c:pt>
                <c:pt idx="1">
                  <c:v>0.62462624083765128</c:v>
                </c:pt>
                <c:pt idx="2">
                  <c:v>0.67226296980162004</c:v>
                </c:pt>
                <c:pt idx="3">
                  <c:v>0.64616666359533781</c:v>
                </c:pt>
                <c:pt idx="4">
                  <c:v>0.64672402075743496</c:v>
                </c:pt>
                <c:pt idx="5">
                  <c:v>0.82430505614031691</c:v>
                </c:pt>
                <c:pt idx="6">
                  <c:v>1.0556620991476746</c:v>
                </c:pt>
                <c:pt idx="7">
                  <c:v>1.2746406348095956</c:v>
                </c:pt>
                <c:pt idx="9">
                  <c:v>0.58840536503250629</c:v>
                </c:pt>
                <c:pt idx="10">
                  <c:v>0.62462624083765128</c:v>
                </c:pt>
                <c:pt idx="11">
                  <c:v>0.67226296980162004</c:v>
                </c:pt>
                <c:pt idx="12">
                  <c:v>0.64616666359533781</c:v>
                </c:pt>
                <c:pt idx="13">
                  <c:v>0.64672402075743496</c:v>
                </c:pt>
                <c:pt idx="14">
                  <c:v>#N/A</c:v>
                </c:pt>
                <c:pt idx="15">
                  <c:v>#N/A</c:v>
                </c:pt>
                <c:pt idx="16">
                  <c:v>#N/A</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PTRA!$O$149:$AE$149</c:f>
              <c:numCache>
                <c:formatCode>0.0</c:formatCode>
                <c:ptCount val="17"/>
                <c:pt idx="0">
                  <c:v>89.101204723506044</c:v>
                </c:pt>
                <c:pt idx="1">
                  <c:v>93.525978660206817</c:v>
                </c:pt>
                <c:pt idx="2">
                  <c:v>97.842472415001637</c:v>
                </c:pt>
                <c:pt idx="3">
                  <c:v>93.746622585597407</c:v>
                </c:pt>
                <c:pt idx="4">
                  <c:v>94.284516099271045</c:v>
                </c:pt>
                <c:pt idx="5">
                  <c:v>120.51309082508857</c:v>
                </c:pt>
                <c:pt idx="6">
                  <c:v>159.42735199452704</c:v>
                </c:pt>
                <c:pt idx="7">
                  <c:v>201.47652123005676</c:v>
                </c:pt>
                <c:pt idx="9">
                  <c:v>89.101204723506044</c:v>
                </c:pt>
                <c:pt idx="10">
                  <c:v>93.525978660206817</c:v>
                </c:pt>
                <c:pt idx="11">
                  <c:v>97.842472415001637</c:v>
                </c:pt>
                <c:pt idx="12">
                  <c:v>93.746622585597407</c:v>
                </c:pt>
                <c:pt idx="13">
                  <c:v>94.284516099271045</c:v>
                </c:pt>
                <c:pt idx="14">
                  <c:v>#N/A</c:v>
                </c:pt>
                <c:pt idx="15">
                  <c:v>#N/A</c:v>
                </c:pt>
                <c:pt idx="16">
                  <c:v>#N/A</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PTRA!$O$150:$AE$150</c:f>
              <c:numCache>
                <c:formatCode>0.0</c:formatCode>
                <c:ptCount val="17"/>
                <c:pt idx="0">
                  <c:v>10.230731465918778</c:v>
                </c:pt>
                <c:pt idx="1">
                  <c:v>10.69044815578722</c:v>
                </c:pt>
                <c:pt idx="2">
                  <c:v>11.183843182083237</c:v>
                </c:pt>
                <c:pt idx="3">
                  <c:v>10.715668768060601</c:v>
                </c:pt>
                <c:pt idx="4">
                  <c:v>10.777152462790532</c:v>
                </c:pt>
                <c:pt idx="5">
                  <c:v>13.775198805884775</c:v>
                </c:pt>
                <c:pt idx="6">
                  <c:v>18.223277270415711</c:v>
                </c:pt>
                <c:pt idx="7">
                  <c:v>23.029690099727446</c:v>
                </c:pt>
                <c:pt idx="9">
                  <c:v>10.230731465918778</c:v>
                </c:pt>
                <c:pt idx="10">
                  <c:v>10.69044815578722</c:v>
                </c:pt>
                <c:pt idx="11">
                  <c:v>11.183843182083237</c:v>
                </c:pt>
                <c:pt idx="12">
                  <c:v>10.715668768060601</c:v>
                </c:pt>
                <c:pt idx="13">
                  <c:v>10.777152462790532</c:v>
                </c:pt>
                <c:pt idx="14">
                  <c:v>#N/A</c:v>
                </c:pt>
                <c:pt idx="15">
                  <c:v>#N/A</c:v>
                </c:pt>
                <c:pt idx="16">
                  <c:v>#N/A</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PTRA!$O$151:$AE$151</c:f>
              <c:numCache>
                <c:formatCode>0.0</c:formatCode>
                <c:ptCount val="17"/>
                <c:pt idx="0">
                  <c:v>3.0845830875962057</c:v>
                </c:pt>
                <c:pt idx="1">
                  <c:v>3.2231884582266197</c:v>
                </c:pt>
                <c:pt idx="2">
                  <c:v>3.3719479050644807</c:v>
                </c:pt>
                <c:pt idx="3">
                  <c:v>3.2307925160925155</c:v>
                </c:pt>
                <c:pt idx="4">
                  <c:v>3.2493299555276773</c:v>
                </c:pt>
                <c:pt idx="5">
                  <c:v>4.1532460710610311</c:v>
                </c:pt>
                <c:pt idx="6">
                  <c:v>5.4943493587095693</c:v>
                </c:pt>
                <c:pt idx="7">
                  <c:v>6.9434910720551821</c:v>
                </c:pt>
                <c:pt idx="9">
                  <c:v>3.0845830875962057</c:v>
                </c:pt>
                <c:pt idx="10">
                  <c:v>3.2231884582266197</c:v>
                </c:pt>
                <c:pt idx="11">
                  <c:v>3.3719479050644807</c:v>
                </c:pt>
                <c:pt idx="12">
                  <c:v>3.2307925160925155</c:v>
                </c:pt>
                <c:pt idx="13">
                  <c:v>3.2493299555276773</c:v>
                </c:pt>
                <c:pt idx="14">
                  <c:v>#N/A</c:v>
                </c:pt>
                <c:pt idx="15">
                  <c:v>#N/A</c:v>
                </c:pt>
                <c:pt idx="16">
                  <c:v>#N/A</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PTRA!$O$152:$AE$152</c:f>
              <c:numCache>
                <c:formatCode>0.0</c:formatCode>
                <c:ptCount val="17"/>
                <c:pt idx="0">
                  <c:v>1.1005748482544424</c:v>
                </c:pt>
                <c:pt idx="1">
                  <c:v>0.76110381500636504</c:v>
                </c:pt>
                <c:pt idx="2">
                  <c:v>0.77888333294641976</c:v>
                </c:pt>
                <c:pt idx="3">
                  <c:v>0.80526146705118407</c:v>
                </c:pt>
                <c:pt idx="4">
                  <c:v>0.79864085897196158</c:v>
                </c:pt>
                <c:pt idx="5">
                  <c:v>0.81217078242076668</c:v>
                </c:pt>
                <c:pt idx="6">
                  <c:v>0.7627627587623087</c:v>
                </c:pt>
                <c:pt idx="7">
                  <c:v>0.68714843924917279</c:v>
                </c:pt>
                <c:pt idx="9">
                  <c:v>1.1005748482544424</c:v>
                </c:pt>
                <c:pt idx="10">
                  <c:v>0.76110381500636504</c:v>
                </c:pt>
                <c:pt idx="11">
                  <c:v>0.77888333294641976</c:v>
                </c:pt>
                <c:pt idx="12">
                  <c:v>0.80526146705118407</c:v>
                </c:pt>
                <c:pt idx="13">
                  <c:v>0.79864085897196158</c:v>
                </c:pt>
                <c:pt idx="14">
                  <c:v>#N/A</c:v>
                </c:pt>
                <c:pt idx="15">
                  <c:v>#N/A</c:v>
                </c:pt>
                <c:pt idx="16">
                  <c:v>#N/A</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PTRA!$O$153:$AE$153</c:f>
              <c:numCache>
                <c:formatCode>0.0</c:formatCode>
                <c:ptCount val="17"/>
                <c:pt idx="0">
                  <c:v>6.8127701567981385</c:v>
                </c:pt>
                <c:pt idx="1">
                  <c:v>7.1904474800915041</c:v>
                </c:pt>
                <c:pt idx="2">
                  <c:v>7.3584175880435181</c:v>
                </c:pt>
                <c:pt idx="3">
                  <c:v>7.6076222092311436</c:v>
                </c:pt>
                <c:pt idx="4">
                  <c:v>7.5450747173630077</c:v>
                </c:pt>
                <c:pt idx="5">
                  <c:v>7.6728972325707065</c:v>
                </c:pt>
                <c:pt idx="6">
                  <c:v>7.2061201750831048</c:v>
                </c:pt>
                <c:pt idx="7">
                  <c:v>6.4917619200301919</c:v>
                </c:pt>
                <c:pt idx="9">
                  <c:v>6.8127701567981385</c:v>
                </c:pt>
                <c:pt idx="10">
                  <c:v>7.1904474800915041</c:v>
                </c:pt>
                <c:pt idx="11">
                  <c:v>7.3584175880435181</c:v>
                </c:pt>
                <c:pt idx="12">
                  <c:v>7.6076222092311436</c:v>
                </c:pt>
                <c:pt idx="13">
                  <c:v>7.5450747173630077</c:v>
                </c:pt>
                <c:pt idx="14">
                  <c:v>#N/A</c:v>
                </c:pt>
                <c:pt idx="15">
                  <c:v>#N/A</c:v>
                </c:pt>
                <c:pt idx="16">
                  <c:v>#N/A</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PTRA!$O$154:$AE$154</c:f>
              <c:numCache>
                <c:formatCode>0.0</c:formatCode>
                <c:ptCount val="17"/>
                <c:pt idx="0">
                  <c:v>3.1269715527094177E-2</c:v>
                </c:pt>
                <c:pt idx="1">
                  <c:v>6.2919830609995675E-2</c:v>
                </c:pt>
                <c:pt idx="2">
                  <c:v>0.10155968711451488</c:v>
                </c:pt>
                <c:pt idx="3">
                  <c:v>0.10425069329756113</c:v>
                </c:pt>
                <c:pt idx="4">
                  <c:v>0.29374525410217339</c:v>
                </c:pt>
                <c:pt idx="5">
                  <c:v>0.56778336073069768</c:v>
                </c:pt>
                <c:pt idx="6">
                  <c:v>1.0794151821685656</c:v>
                </c:pt>
                <c:pt idx="7">
                  <c:v>1.5545745187505957</c:v>
                </c:pt>
                <c:pt idx="9">
                  <c:v>3.1269715527094177E-2</c:v>
                </c:pt>
                <c:pt idx="10">
                  <c:v>6.2919830609995675E-2</c:v>
                </c:pt>
                <c:pt idx="11">
                  <c:v>0.10155968711451488</c:v>
                </c:pt>
                <c:pt idx="12">
                  <c:v>0.10425069329756113</c:v>
                </c:pt>
                <c:pt idx="13">
                  <c:v>0.29374525410217339</c:v>
                </c:pt>
                <c:pt idx="14">
                  <c:v>#N/A</c:v>
                </c:pt>
                <c:pt idx="15">
                  <c:v>#N/A</c:v>
                </c:pt>
                <c:pt idx="16">
                  <c:v>#N/A</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124.74168661290844</c:v>
                </c:pt>
                <c:pt idx="1">
                  <c:v>130.93637012428951</c:v>
                </c:pt>
                <c:pt idx="2">
                  <c:v>136.97946138100227</c:v>
                </c:pt>
                <c:pt idx="3">
                  <c:v>131.24527161983636</c:v>
                </c:pt>
                <c:pt idx="4">
                  <c:v>131.99832253897941</c:v>
                </c:pt>
                <c:pt idx="5">
                  <c:v>168.71832715512397</c:v>
                </c:pt>
                <c:pt idx="6">
                  <c:v>223.19829279233778</c:v>
                </c:pt>
                <c:pt idx="7">
                  <c:v>282.06712972207947</c:v>
                </c:pt>
                <c:pt idx="9">
                  <c:v>124.74168661290844</c:v>
                </c:pt>
                <c:pt idx="10">
                  <c:v>130.93637012428951</c:v>
                </c:pt>
                <c:pt idx="11">
                  <c:v>136.97946138100227</c:v>
                </c:pt>
                <c:pt idx="12">
                  <c:v>131.24527161983636</c:v>
                </c:pt>
                <c:pt idx="13">
                  <c:v>131.99832253897941</c:v>
                </c:pt>
                <c:pt idx="14">
                  <c:v>#N/A</c:v>
                </c:pt>
                <c:pt idx="15">
                  <c:v>#N/A</c:v>
                </c:pt>
                <c:pt idx="16">
                  <c:v>#N/A</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14.323024052286286</c:v>
                </c:pt>
                <c:pt idx="1">
                  <c:v>14.966627418102105</c:v>
                </c:pt>
                <c:pt idx="2">
                  <c:v>15.657380454916529</c:v>
                </c:pt>
                <c:pt idx="3">
                  <c:v>15.001936275284839</c:v>
                </c:pt>
                <c:pt idx="4">
                  <c:v>15.088013447906739</c:v>
                </c:pt>
                <c:pt idx="5">
                  <c:v>19.285278328238682</c:v>
                </c:pt>
                <c:pt idx="6">
                  <c:v>25.512588178581986</c:v>
                </c:pt>
                <c:pt idx="7">
                  <c:v>32.241566139618421</c:v>
                </c:pt>
                <c:pt idx="9">
                  <c:v>14.323024052286286</c:v>
                </c:pt>
                <c:pt idx="10">
                  <c:v>14.966627418102105</c:v>
                </c:pt>
                <c:pt idx="11">
                  <c:v>15.657380454916529</c:v>
                </c:pt>
                <c:pt idx="12">
                  <c:v>15.001936275284839</c:v>
                </c:pt>
                <c:pt idx="13">
                  <c:v>15.088013447906739</c:v>
                </c:pt>
                <c:pt idx="14">
                  <c:v>#N/A</c:v>
                </c:pt>
                <c:pt idx="15">
                  <c:v>#N/A</c:v>
                </c:pt>
                <c:pt idx="16">
                  <c:v>#N/A</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4.3184163226346879</c:v>
                </c:pt>
                <c:pt idx="1">
                  <c:v>4.512463841517266</c:v>
                </c:pt>
                <c:pt idx="2">
                  <c:v>4.7207270670902721</c:v>
                </c:pt>
                <c:pt idx="3">
                  <c:v>4.5231095225295217</c:v>
                </c:pt>
                <c:pt idx="4">
                  <c:v>4.5490619377387471</c:v>
                </c:pt>
                <c:pt idx="5">
                  <c:v>5.8145444994854429</c:v>
                </c:pt>
                <c:pt idx="6">
                  <c:v>7.6920891021933953</c:v>
                </c:pt>
                <c:pt idx="7">
                  <c:v>9.7208875008772537</c:v>
                </c:pt>
                <c:pt idx="9">
                  <c:v>4.3184163226346879</c:v>
                </c:pt>
                <c:pt idx="10">
                  <c:v>4.512463841517266</c:v>
                </c:pt>
                <c:pt idx="11">
                  <c:v>4.7207270670902721</c:v>
                </c:pt>
                <c:pt idx="12">
                  <c:v>4.5231095225295217</c:v>
                </c:pt>
                <c:pt idx="13">
                  <c:v>4.5490619377387471</c:v>
                </c:pt>
                <c:pt idx="14">
                  <c:v>#N/A</c:v>
                </c:pt>
                <c:pt idx="15">
                  <c:v>#N/A</c:v>
                </c:pt>
                <c:pt idx="16">
                  <c:v>#N/A</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27.514371206361059</c:v>
                </c:pt>
                <c:pt idx="1">
                  <c:v>19.027595375159127</c:v>
                </c:pt>
                <c:pt idx="2">
                  <c:v>19.472083323660495</c:v>
                </c:pt>
                <c:pt idx="3">
                  <c:v>20.131536676279602</c:v>
                </c:pt>
                <c:pt idx="4">
                  <c:v>19.966021474299041</c:v>
                </c:pt>
                <c:pt idx="5">
                  <c:v>20.304269560519167</c:v>
                </c:pt>
                <c:pt idx="6">
                  <c:v>19.069068969057717</c:v>
                </c:pt>
                <c:pt idx="7">
                  <c:v>17.178710981229319</c:v>
                </c:pt>
                <c:pt idx="9">
                  <c:v>27.514371206361059</c:v>
                </c:pt>
                <c:pt idx="10">
                  <c:v>19.027595375159127</c:v>
                </c:pt>
                <c:pt idx="11">
                  <c:v>19.472083323660495</c:v>
                </c:pt>
                <c:pt idx="12">
                  <c:v>20.131536676279602</c:v>
                </c:pt>
                <c:pt idx="13">
                  <c:v>19.966021474299041</c:v>
                </c:pt>
                <c:pt idx="14">
                  <c:v>#N/A</c:v>
                </c:pt>
                <c:pt idx="15">
                  <c:v>#N/A</c:v>
                </c:pt>
                <c:pt idx="16">
                  <c:v>#N/A</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95.37878219517394</c:v>
                </c:pt>
                <c:pt idx="1">
                  <c:v>100.66626472128105</c:v>
                </c:pt>
                <c:pt idx="2">
                  <c:v>103.01784623260926</c:v>
                </c:pt>
                <c:pt idx="3">
                  <c:v>106.50671092923601</c:v>
                </c:pt>
                <c:pt idx="4">
                  <c:v>105.63104604308211</c:v>
                </c:pt>
                <c:pt idx="5">
                  <c:v>107.4205612559899</c:v>
                </c:pt>
                <c:pt idx="6">
                  <c:v>100.88568245116346</c:v>
                </c:pt>
                <c:pt idx="7">
                  <c:v>90.884666880422685</c:v>
                </c:pt>
                <c:pt idx="9">
                  <c:v>95.37878219517394</c:v>
                </c:pt>
                <c:pt idx="10">
                  <c:v>100.66626472128105</c:v>
                </c:pt>
                <c:pt idx="11">
                  <c:v>103.01784623260926</c:v>
                </c:pt>
                <c:pt idx="12">
                  <c:v>106.50671092923601</c:v>
                </c:pt>
                <c:pt idx="13">
                  <c:v>105.63104604308211</c:v>
                </c:pt>
                <c:pt idx="14">
                  <c:v>#N/A</c:v>
                </c:pt>
                <c:pt idx="15">
                  <c:v>#N/A</c:v>
                </c:pt>
                <c:pt idx="16">
                  <c:v>#N/A</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0.78174288817735449</c:v>
                </c:pt>
                <c:pt idx="1">
                  <c:v>1.5729957652498918</c:v>
                </c:pt>
                <c:pt idx="2">
                  <c:v>2.5389921778628719</c:v>
                </c:pt>
                <c:pt idx="3">
                  <c:v>2.6062673324390282</c:v>
                </c:pt>
                <c:pt idx="4">
                  <c:v>7.3436313525543344</c:v>
                </c:pt>
                <c:pt idx="5">
                  <c:v>14.194584018267442</c:v>
                </c:pt>
                <c:pt idx="6">
                  <c:v>26.985379554214141</c:v>
                </c:pt>
                <c:pt idx="7">
                  <c:v>38.864362968764894</c:v>
                </c:pt>
                <c:pt idx="9">
                  <c:v>0.78174288817735449</c:v>
                </c:pt>
                <c:pt idx="10">
                  <c:v>1.5729957652498918</c:v>
                </c:pt>
                <c:pt idx="11">
                  <c:v>2.5389921778628719</c:v>
                </c:pt>
                <c:pt idx="12">
                  <c:v>2.6062673324390282</c:v>
                </c:pt>
                <c:pt idx="13">
                  <c:v>7.3436313525543344</c:v>
                </c:pt>
                <c:pt idx="14">
                  <c:v>#N/A</c:v>
                </c:pt>
                <c:pt idx="15">
                  <c:v>#N/A</c:v>
                </c:pt>
                <c:pt idx="16">
                  <c:v>#N/A</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12.045661044795077</c:v>
                </c:pt>
                <c:pt idx="1">
                  <c:v>8.8709735194998576</c:v>
                </c:pt>
                <c:pt idx="2">
                  <c:v>9.0782010090038749</c:v>
                </c:pt>
                <c:pt idx="3">
                  <c:v>9.3856488558330522</c:v>
                </c:pt>
                <c:pt idx="4">
                  <c:v>9.3084829846394115</c:v>
                </c:pt>
                <c:pt idx="5">
                  <c:v>9.4661797275393322</c:v>
                </c:pt>
                <c:pt idx="6">
                  <c:v>8.8903091815201449</c:v>
                </c:pt>
                <c:pt idx="7">
                  <c:v>8.0089936331406903</c:v>
                </c:pt>
                <c:pt idx="9">
                  <c:v>12.045661044795077</c:v>
                </c:pt>
                <c:pt idx="10">
                  <c:v>8.8709735194998576</c:v>
                </c:pt>
                <c:pt idx="11">
                  <c:v>9.0782010090038749</c:v>
                </c:pt>
                <c:pt idx="12">
                  <c:v>9.3856488558330522</c:v>
                </c:pt>
                <c:pt idx="13">
                  <c:v>9.3084829846394115</c:v>
                </c:pt>
                <c:pt idx="14">
                  <c:v>#N/A</c:v>
                </c:pt>
                <c:pt idx="15">
                  <c:v>#N/A</c:v>
                </c:pt>
                <c:pt idx="16">
                  <c:v>#N/A</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0.58840536503250629</c:v>
                </c:pt>
                <c:pt idx="1">
                  <c:v>0.62462624083765128</c:v>
                </c:pt>
                <c:pt idx="2">
                  <c:v>0.67226296980162004</c:v>
                </c:pt>
                <c:pt idx="3">
                  <c:v>0.64616666359533781</c:v>
                </c:pt>
                <c:pt idx="4">
                  <c:v>0.64672402075743496</c:v>
                </c:pt>
                <c:pt idx="5">
                  <c:v>0.82430505614031691</c:v>
                </c:pt>
                <c:pt idx="6">
                  <c:v>1.0556620991476746</c:v>
                </c:pt>
                <c:pt idx="7">
                  <c:v>1.2746406348095956</c:v>
                </c:pt>
                <c:pt idx="9">
                  <c:v>0.58840536503250629</c:v>
                </c:pt>
                <c:pt idx="10">
                  <c:v>0.62462624083765128</c:v>
                </c:pt>
                <c:pt idx="11">
                  <c:v>0.67226296980162004</c:v>
                </c:pt>
                <c:pt idx="12">
                  <c:v>0.64616666359533781</c:v>
                </c:pt>
                <c:pt idx="13">
                  <c:v>0.64672402075743496</c:v>
                </c:pt>
                <c:pt idx="14">
                  <c:v>#N/A</c:v>
                </c:pt>
                <c:pt idx="15">
                  <c:v>#N/A</c:v>
                </c:pt>
                <c:pt idx="16">
                  <c:v>#N/A</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PTRA!$O$25:$AE$25</c:f>
              <c:numCache>
                <c:formatCode>0%</c:formatCode>
                <c:ptCount val="17"/>
                <c:pt idx="0">
                  <c:v>0.02</c:v>
                </c:pt>
                <c:pt idx="1">
                  <c:v>0.02</c:v>
                </c:pt>
                <c:pt idx="2">
                  <c:v>0.02</c:v>
                </c:pt>
                <c:pt idx="3">
                  <c:v>0.02</c:v>
                </c:pt>
                <c:pt idx="4">
                  <c:v>0.02</c:v>
                </c:pt>
                <c:pt idx="5">
                  <c:v>0.02</c:v>
                </c:pt>
                <c:pt idx="6">
                  <c:v>0.02</c:v>
                </c:pt>
                <c:pt idx="7">
                  <c:v>0.02</c:v>
                </c:pt>
                <c:pt idx="9">
                  <c:v>0.02</c:v>
                </c:pt>
                <c:pt idx="10">
                  <c:v>0.02</c:v>
                </c:pt>
                <c:pt idx="11">
                  <c:v>0.02</c:v>
                </c:pt>
                <c:pt idx="12">
                  <c:v>0.02</c:v>
                </c:pt>
                <c:pt idx="13">
                  <c:v>0.02</c:v>
                </c:pt>
                <c:pt idx="14">
                  <c:v>0.05</c:v>
                </c:pt>
                <c:pt idx="15">
                  <c:v>0.04</c:v>
                </c:pt>
                <c:pt idx="16">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PTRA!$O$26:$AE$26</c:f>
              <c:numCache>
                <c:formatCode>0%</c:formatCode>
                <c:ptCount val="17"/>
                <c:pt idx="0">
                  <c:v>0.53</c:v>
                </c:pt>
                <c:pt idx="1">
                  <c:v>0.53</c:v>
                </c:pt>
                <c:pt idx="2">
                  <c:v>0.53</c:v>
                </c:pt>
                <c:pt idx="3">
                  <c:v>0.53</c:v>
                </c:pt>
                <c:pt idx="4">
                  <c:v>0.53</c:v>
                </c:pt>
                <c:pt idx="5">
                  <c:v>0.53</c:v>
                </c:pt>
                <c:pt idx="6">
                  <c:v>0.53</c:v>
                </c:pt>
                <c:pt idx="7">
                  <c:v>0.53</c:v>
                </c:pt>
                <c:pt idx="9">
                  <c:v>0.53</c:v>
                </c:pt>
                <c:pt idx="10">
                  <c:v>0.53</c:v>
                </c:pt>
                <c:pt idx="11">
                  <c:v>0.53</c:v>
                </c:pt>
                <c:pt idx="12">
                  <c:v>0.53</c:v>
                </c:pt>
                <c:pt idx="13">
                  <c:v>0.53</c:v>
                </c:pt>
                <c:pt idx="14">
                  <c:v>0.50349999999999995</c:v>
                </c:pt>
                <c:pt idx="15">
                  <c:v>0.47832499999999994</c:v>
                </c:pt>
                <c:pt idx="16">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PTRA!$O$27:$AE$27</c:f>
              <c:numCache>
                <c:formatCode>0%</c:formatCode>
                <c:ptCount val="17"/>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9">
                  <c:v>0.76810810810810803</c:v>
                </c:pt>
                <c:pt idx="10">
                  <c:v>0.76810810810810803</c:v>
                </c:pt>
                <c:pt idx="11">
                  <c:v>0.76810810810810803</c:v>
                </c:pt>
                <c:pt idx="12">
                  <c:v>0.76810810810810803</c:v>
                </c:pt>
                <c:pt idx="13">
                  <c:v>0.76810810810810803</c:v>
                </c:pt>
                <c:pt idx="14">
                  <c:v>0.74890540540540529</c:v>
                </c:pt>
                <c:pt idx="15">
                  <c:v>0.73018277027027012</c:v>
                </c:pt>
                <c:pt idx="16">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PTRA!$O$30:$AE$30</c:f>
              <c:numCache>
                <c:formatCode>0.00</c:formatCode>
                <c:ptCount val="17"/>
                <c:pt idx="0">
                  <c:v>0.25</c:v>
                </c:pt>
                <c:pt idx="1">
                  <c:v>0.25</c:v>
                </c:pt>
                <c:pt idx="2">
                  <c:v>0.25</c:v>
                </c:pt>
                <c:pt idx="3">
                  <c:v>0.25</c:v>
                </c:pt>
                <c:pt idx="4">
                  <c:v>0.25</c:v>
                </c:pt>
                <c:pt idx="5">
                  <c:v>0.25</c:v>
                </c:pt>
                <c:pt idx="6">
                  <c:v>0.25</c:v>
                </c:pt>
                <c:pt idx="7">
                  <c:v>0.25</c:v>
                </c:pt>
                <c:pt idx="9" formatCode="0%">
                  <c:v>0.25</c:v>
                </c:pt>
                <c:pt idx="10" formatCode="0%">
                  <c:v>0.25</c:v>
                </c:pt>
                <c:pt idx="11" formatCode="0%">
                  <c:v>0.25</c:v>
                </c:pt>
                <c:pt idx="12" formatCode="0%">
                  <c:v>0.25</c:v>
                </c:pt>
                <c:pt idx="13" formatCode="0%">
                  <c:v>0.25</c:v>
                </c:pt>
                <c:pt idx="14">
                  <c:v>0.23749999999999999</c:v>
                </c:pt>
                <c:pt idx="15">
                  <c:v>0.22562499999999999</c:v>
                </c:pt>
                <c:pt idx="16">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PTRA!$O$31:$AE$31</c:f>
              <c:numCache>
                <c:formatCode>0.00</c:formatCode>
                <c:ptCount val="17"/>
                <c:pt idx="0">
                  <c:v>0.31311637080867849</c:v>
                </c:pt>
                <c:pt idx="1">
                  <c:v>0.31311637080867849</c:v>
                </c:pt>
                <c:pt idx="2">
                  <c:v>0.31311637080867849</c:v>
                </c:pt>
                <c:pt idx="3">
                  <c:v>0.31311637080867849</c:v>
                </c:pt>
                <c:pt idx="4">
                  <c:v>0.31311637080867849</c:v>
                </c:pt>
                <c:pt idx="5">
                  <c:v>0.31311637080867849</c:v>
                </c:pt>
                <c:pt idx="6">
                  <c:v>0.31311637080867849</c:v>
                </c:pt>
                <c:pt idx="7">
                  <c:v>0.31311637080867849</c:v>
                </c:pt>
                <c:pt idx="9" formatCode="0%">
                  <c:v>0.31311637080867849</c:v>
                </c:pt>
                <c:pt idx="10" formatCode="0%">
                  <c:v>0.31311637080867849</c:v>
                </c:pt>
                <c:pt idx="11" formatCode="0%">
                  <c:v>0.31311637080867849</c:v>
                </c:pt>
                <c:pt idx="12" formatCode="0%">
                  <c:v>0.31311637080867849</c:v>
                </c:pt>
                <c:pt idx="13" formatCode="0%">
                  <c:v>0.31311637080867849</c:v>
                </c:pt>
                <c:pt idx="14" formatCode="0%">
                  <c:v>0.29746055226824453</c:v>
                </c:pt>
                <c:pt idx="15" formatCode="0%">
                  <c:v>0.29746055226824453</c:v>
                </c:pt>
                <c:pt idx="16" formatCode="0%">
                  <c:v>0.28258752465483228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PTRA!$O$32:$AE$32</c:f>
              <c:numCache>
                <c:formatCode>0.00</c:formatCode>
                <c:ptCount val="17"/>
                <c:pt idx="0">
                  <c:v>0.41283463855351005</c:v>
                </c:pt>
                <c:pt idx="1">
                  <c:v>0.41283463855351005</c:v>
                </c:pt>
                <c:pt idx="2">
                  <c:v>0.41283463855351005</c:v>
                </c:pt>
                <c:pt idx="3">
                  <c:v>0.40790316676191524</c:v>
                </c:pt>
                <c:pt idx="4">
                  <c:v>0.41325154744498233</c:v>
                </c:pt>
                <c:pt idx="5">
                  <c:v>0.42080265545477441</c:v>
                </c:pt>
                <c:pt idx="6">
                  <c:v>0.4455787384984683</c:v>
                </c:pt>
                <c:pt idx="7">
                  <c:v>0.4757137128656545</c:v>
                </c:pt>
                <c:pt idx="9" formatCode="0%">
                  <c:v>0.41283463855351005</c:v>
                </c:pt>
                <c:pt idx="10" formatCode="0%">
                  <c:v>0.41283463855351005</c:v>
                </c:pt>
                <c:pt idx="11" formatCode="0%">
                  <c:v>0.41283463855351005</c:v>
                </c:pt>
                <c:pt idx="12" formatCode="0%">
                  <c:v>0.40790316676191524</c:v>
                </c:pt>
                <c:pt idx="13" formatCode="0%">
                  <c:v>0.41325154744498233</c:v>
                </c:pt>
                <c:pt idx="14" formatCode="0%">
                  <c:v>0.39770558759286734</c:v>
                </c:pt>
                <c:pt idx="15" formatCode="0%">
                  <c:v>0.38776294790304566</c:v>
                </c:pt>
                <c:pt idx="16" formatCode="0%">
                  <c:v>0.37806887420546953</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PTRA!$O$35:$AE$35</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PTRA!$O$36:$AE$36</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PTRA!$O$37:$AE$37</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PTRA!$O$41:$AE$41</c:f>
              <c:numCache>
                <c:formatCode>0.00</c:formatCode>
                <c:ptCount val="17"/>
                <c:pt idx="0">
                  <c:v>8.0274119837508469</c:v>
                </c:pt>
                <c:pt idx="1">
                  <c:v>8.0274119837508469</c:v>
                </c:pt>
                <c:pt idx="2" formatCode="General">
                  <c:v>8.0274119837508469</c:v>
                </c:pt>
                <c:pt idx="3">
                  <c:v>8.0274119837508469</c:v>
                </c:pt>
                <c:pt idx="4">
                  <c:v>8.0274119837508469</c:v>
                </c:pt>
                <c:pt idx="5">
                  <c:v>8.0274119837508469</c:v>
                </c:pt>
                <c:pt idx="6">
                  <c:v>8.0274119837508469</c:v>
                </c:pt>
                <c:pt idx="7">
                  <c:v>8.0274119837508469</c:v>
                </c:pt>
                <c:pt idx="9">
                  <c:v>8.0274119837508469</c:v>
                </c:pt>
                <c:pt idx="10">
                  <c:v>8.0274119837508469</c:v>
                </c:pt>
                <c:pt idx="11">
                  <c:v>8.0274119837508469</c:v>
                </c:pt>
                <c:pt idx="12">
                  <c:v>8.0274119837508469</c:v>
                </c:pt>
                <c:pt idx="13">
                  <c:v>8.0274119837508469</c:v>
                </c:pt>
                <c:pt idx="14">
                  <c:v>7.6260413845633037</c:v>
                </c:pt>
                <c:pt idx="15">
                  <c:v>7.2447393153351385</c:v>
                </c:pt>
                <c:pt idx="16">
                  <c:v>6.882502349568381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PTRA!$O$42:$AE$42</c:f>
              <c:numCache>
                <c:formatCode>0.00</c:formatCode>
                <c:ptCount val="17"/>
                <c:pt idx="0">
                  <c:v>13.418073439870216</c:v>
                </c:pt>
                <c:pt idx="1">
                  <c:v>13.418073439870216</c:v>
                </c:pt>
                <c:pt idx="2" formatCode="General">
                  <c:v>13.418073439870216</c:v>
                </c:pt>
                <c:pt idx="3">
                  <c:v>13.418073439870216</c:v>
                </c:pt>
                <c:pt idx="4">
                  <c:v>13.418073439870216</c:v>
                </c:pt>
                <c:pt idx="5">
                  <c:v>13.418073439870216</c:v>
                </c:pt>
                <c:pt idx="6">
                  <c:v>13.418073439870216</c:v>
                </c:pt>
                <c:pt idx="7">
                  <c:v>13.418073439870216</c:v>
                </c:pt>
                <c:pt idx="9">
                  <c:v>13.418073439870216</c:v>
                </c:pt>
                <c:pt idx="10">
                  <c:v>13.418073439870216</c:v>
                </c:pt>
                <c:pt idx="11">
                  <c:v>13.418073439870216</c:v>
                </c:pt>
                <c:pt idx="12">
                  <c:v>13.418073439870216</c:v>
                </c:pt>
                <c:pt idx="13">
                  <c:v>13.418073439870216</c:v>
                </c:pt>
                <c:pt idx="14">
                  <c:v>12.747169767876706</c:v>
                </c:pt>
                <c:pt idx="15">
                  <c:v>12.109811279482869</c:v>
                </c:pt>
                <c:pt idx="16">
                  <c:v>11.504320715508726</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PTRA!$O$43:$AE$43</c:f>
              <c:numCache>
                <c:formatCode>0.00</c:formatCode>
                <c:ptCount val="17"/>
                <c:pt idx="0">
                  <c:v>15.663966300310799</c:v>
                </c:pt>
                <c:pt idx="1">
                  <c:v>15.350686974304583</c:v>
                </c:pt>
                <c:pt idx="2" formatCode="General">
                  <c:v>15.350686974304583</c:v>
                </c:pt>
                <c:pt idx="3">
                  <c:v>15.350686974304583</c:v>
                </c:pt>
                <c:pt idx="4">
                  <c:v>15.350686974304583</c:v>
                </c:pt>
                <c:pt idx="5">
                  <c:v>15.350686974304583</c:v>
                </c:pt>
                <c:pt idx="6">
                  <c:v>15.350686974304583</c:v>
                </c:pt>
                <c:pt idx="7">
                  <c:v>15.350686974304583</c:v>
                </c:pt>
                <c:pt idx="9">
                  <c:v>15.663966300310799</c:v>
                </c:pt>
                <c:pt idx="10">
                  <c:v>15.350686974304583</c:v>
                </c:pt>
                <c:pt idx="11">
                  <c:v>15.350686974304583</c:v>
                </c:pt>
                <c:pt idx="12">
                  <c:v>15.350686974304583</c:v>
                </c:pt>
                <c:pt idx="13">
                  <c:v>15.350686974304583</c:v>
                </c:pt>
                <c:pt idx="14">
                  <c:v>14.966919799946968</c:v>
                </c:pt>
                <c:pt idx="15">
                  <c:v>14.592746804948293</c:v>
                </c:pt>
                <c:pt idx="16">
                  <c:v>14.227928134824586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[7]RES!$C$22</c:f>
              <c:strCache>
                <c:ptCount val="1"/>
                <c:pt idx="0">
                  <c:v>Low Income</c:v>
                </c:pt>
              </c:strCache>
            </c:strRef>
          </c:tx>
          <c:cat>
            <c:numRef>
              <c:f>[7]RES!$E$21:$I$21</c:f>
              <c:numCache>
                <c:formatCode>General</c:formatCode>
                <c:ptCount val="5"/>
                <c:pt idx="0">
                  <c:v>2012</c:v>
                </c:pt>
                <c:pt idx="1">
                  <c:v>2020</c:v>
                </c:pt>
                <c:pt idx="2">
                  <c:v>2030</c:v>
                </c:pt>
                <c:pt idx="3">
                  <c:v>2040</c:v>
                </c:pt>
                <c:pt idx="4">
                  <c:v>2050</c:v>
                </c:pt>
              </c:numCache>
            </c:numRef>
          </c:cat>
          <c:val>
            <c:numRef>
              <c:f>[7]RES!$E$22:$I$22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[7]RES!$C$23</c:f>
              <c:strCache>
                <c:ptCount val="1"/>
                <c:pt idx="0">
                  <c:v>Middle Income</c:v>
                </c:pt>
              </c:strCache>
            </c:strRef>
          </c:tx>
          <c:cat>
            <c:numRef>
              <c:f>[7]RES!$E$21:$I$21</c:f>
              <c:numCache>
                <c:formatCode>General</c:formatCode>
                <c:ptCount val="5"/>
                <c:pt idx="0">
                  <c:v>2012</c:v>
                </c:pt>
                <c:pt idx="1">
                  <c:v>2020</c:v>
                </c:pt>
                <c:pt idx="2">
                  <c:v>2030</c:v>
                </c:pt>
                <c:pt idx="3">
                  <c:v>2040</c:v>
                </c:pt>
                <c:pt idx="4">
                  <c:v>2050</c:v>
                </c:pt>
              </c:numCache>
            </c:numRef>
          </c:cat>
          <c:val>
            <c:numRef>
              <c:f>[7]RES!$E$23:$I$23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[7]RES!$C$24</c:f>
              <c:strCache>
                <c:ptCount val="1"/>
                <c:pt idx="0">
                  <c:v>High Income</c:v>
                </c:pt>
              </c:strCache>
            </c:strRef>
          </c:tx>
          <c:cat>
            <c:numRef>
              <c:f>[7]RES!$E$21:$I$21</c:f>
              <c:numCache>
                <c:formatCode>General</c:formatCode>
                <c:ptCount val="5"/>
                <c:pt idx="0">
                  <c:v>2012</c:v>
                </c:pt>
                <c:pt idx="1">
                  <c:v>2020</c:v>
                </c:pt>
                <c:pt idx="2">
                  <c:v>2030</c:v>
                </c:pt>
                <c:pt idx="3">
                  <c:v>2040</c:v>
                </c:pt>
                <c:pt idx="4">
                  <c:v>2050</c:v>
                </c:pt>
              </c:numCache>
            </c:numRef>
          </c:cat>
          <c:val>
            <c:numRef>
              <c:f>[7]RES!$E$24:$I$24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PTRA!$F$19:$M$19</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PTRA!$F$20:$M$20</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PTRA!$F$21:$M$21</c:f>
              <c:numCache>
                <c:formatCode>0.0</c:formatCode>
                <c:ptCount val="8"/>
                <c:pt idx="0" formatCode="0.00">
                  <c:v>1</c:v>
                </c:pt>
                <c:pt idx="1">
                  <c:v>0.97610921501706494</c:v>
                </c:pt>
                <c:pt idx="2">
                  <c:v>0.97610921501706494</c:v>
                </c:pt>
                <c:pt idx="3" formatCode="0.00">
                  <c:v>0.95221843003412987</c:v>
                </c:pt>
                <c:pt idx="4">
                  <c:v>1.0273037542662118</c:v>
                </c:pt>
                <c:pt idx="5">
                  <c:v>1.1023890784982937</c:v>
                </c:pt>
                <c:pt idx="6">
                  <c:v>1.3620156089042583</c:v>
                </c:pt>
                <c:pt idx="7">
                  <c:v>1.7304739927162893</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PTRA!$O$54:$AE$54</c:f>
              <c:numCache>
                <c:formatCode>0.00</c:formatCode>
                <c:ptCount val="17"/>
                <c:pt idx="0">
                  <c:v>0.13180496609092004</c:v>
                </c:pt>
                <c:pt idx="1">
                  <c:v>0.13289382363899763</c:v>
                </c:pt>
                <c:pt idx="2">
                  <c:v>0.13455653512922189</c:v>
                </c:pt>
                <c:pt idx="3">
                  <c:v>0.1405579466861536</c:v>
                </c:pt>
                <c:pt idx="4">
                  <c:v>0.14638634000992462</c:v>
                </c:pt>
                <c:pt idx="5">
                  <c:v>0.13922289430770129</c:v>
                </c:pt>
                <c:pt idx="6">
                  <c:v>0.11993097936424922</c:v>
                </c:pt>
                <c:pt idx="7">
                  <c:v>9.7966580310109935E-2</c:v>
                </c:pt>
                <c:pt idx="9">
                  <c:v>0.13180496609092004</c:v>
                </c:pt>
                <c:pt idx="10">
                  <c:v>0.13289382363899763</c:v>
                </c:pt>
                <c:pt idx="11">
                  <c:v>0.13455653512922189</c:v>
                </c:pt>
                <c:pt idx="12">
                  <c:v>0.1405579466861536</c:v>
                </c:pt>
                <c:pt idx="13">
                  <c:v>0.14638634000992462</c:v>
                </c:pt>
                <c:pt idx="14">
                  <c:v>0.33065437398079062</c:v>
                </c:pt>
                <c:pt idx="15">
                  <c:v>0.21647541775246984</c:v>
                </c:pt>
                <c:pt idx="16">
                  <c:v>0.16798819358676101</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PTRA!$O$55:$AE$55</c:f>
              <c:numCache>
                <c:formatCode>0.00</c:formatCode>
                <c:ptCount val="17"/>
                <c:pt idx="0">
                  <c:v>2.7548189679355337</c:v>
                </c:pt>
                <c:pt idx="1">
                  <c:v>2.8707673067476867</c:v>
                </c:pt>
                <c:pt idx="2">
                  <c:v>3.0246992599559843</c:v>
                </c:pt>
                <c:pt idx="3">
                  <c:v>3.1864854986218929</c:v>
                </c:pt>
                <c:pt idx="4">
                  <c:v>3.0545728330280069</c:v>
                </c:pt>
                <c:pt idx="5">
                  <c:v>3.5542356645509767</c:v>
                </c:pt>
                <c:pt idx="6">
                  <c:v>4.0947143532828152</c:v>
                </c:pt>
                <c:pt idx="7">
                  <c:v>4.5342116234060548</c:v>
                </c:pt>
                <c:pt idx="9">
                  <c:v>2.7548189679355337</c:v>
                </c:pt>
                <c:pt idx="10">
                  <c:v>2.8707673067476867</c:v>
                </c:pt>
                <c:pt idx="11">
                  <c:v>3.0246992599559843</c:v>
                </c:pt>
                <c:pt idx="12">
                  <c:v>3.1864854986218929</c:v>
                </c:pt>
                <c:pt idx="13">
                  <c:v>3.0545728330280069</c:v>
                </c:pt>
                <c:pt idx="14">
                  <c:v>3.207697687257256</c:v>
                </c:pt>
                <c:pt idx="15">
                  <c:v>3.5107057186458523</c:v>
                </c:pt>
                <c:pt idx="16">
                  <c:v>3.5084865207825326</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PTRA!$O$56:$AE$56</c:f>
              <c:numCache>
                <c:formatCode>0.00</c:formatCode>
                <c:ptCount val="17"/>
                <c:pt idx="0">
                  <c:v>3.7384287562127883</c:v>
                </c:pt>
                <c:pt idx="1">
                  <c:v>4.0095499278165798</c:v>
                </c:pt>
                <c:pt idx="2">
                  <c:v>4.194348400332407</c:v>
                </c:pt>
                <c:pt idx="3">
                  <c:v>3.7584536303869847</c:v>
                </c:pt>
                <c:pt idx="4">
                  <c:v>3.9068007168212775</c:v>
                </c:pt>
                <c:pt idx="5">
                  <c:v>5.3959374629299264</c:v>
                </c:pt>
                <c:pt idx="6">
                  <c:v>7.7742596626883973</c:v>
                </c:pt>
                <c:pt idx="7">
                  <c:v>10.451198908779302</c:v>
                </c:pt>
                <c:pt idx="9">
                  <c:v>3.7384287562127883</c:v>
                </c:pt>
                <c:pt idx="10">
                  <c:v>4.0095499278165798</c:v>
                </c:pt>
                <c:pt idx="11">
                  <c:v>4.194348400332407</c:v>
                </c:pt>
                <c:pt idx="12">
                  <c:v>3.7584536303869847</c:v>
                </c:pt>
                <c:pt idx="13">
                  <c:v>3.9068007168212775</c:v>
                </c:pt>
                <c:pt idx="14">
                  <c:v>4.9722704697880955</c:v>
                </c:pt>
                <c:pt idx="15">
                  <c:v>6.4314681354620031</c:v>
                </c:pt>
                <c:pt idx="16">
                  <c:v>7.6984840447579925</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PTRA!$O$57:$AE$57</c:f>
              <c:numCache>
                <c:formatCode>0.00</c:formatCode>
                <c:ptCount val="17"/>
                <c:pt idx="0">
                  <c:v>0.46210357112254363</c:v>
                </c:pt>
                <c:pt idx="1">
                  <c:v>0.46691180750353573</c:v>
                </c:pt>
                <c:pt idx="2">
                  <c:v>0.47010048898315682</c:v>
                </c:pt>
                <c:pt idx="3">
                  <c:v>0.45284634822306574</c:v>
                </c:pt>
                <c:pt idx="4">
                  <c:v>0.45758056160160959</c:v>
                </c:pt>
                <c:pt idx="5">
                  <c:v>0.50382178340331718</c:v>
                </c:pt>
                <c:pt idx="6">
                  <c:v>0.5850991700851057</c:v>
                </c:pt>
                <c:pt idx="7">
                  <c:v>0.69554198454893268</c:v>
                </c:pt>
                <c:pt idx="9">
                  <c:v>0.46210357112254363</c:v>
                </c:pt>
                <c:pt idx="10">
                  <c:v>0.46691180750353573</c:v>
                </c:pt>
                <c:pt idx="11">
                  <c:v>0.47010048898315682</c:v>
                </c:pt>
                <c:pt idx="12">
                  <c:v>0.45284634822306574</c:v>
                </c:pt>
                <c:pt idx="13">
                  <c:v>0.45758056160160959</c:v>
                </c:pt>
                <c:pt idx="14">
                  <c:v>0.50430020366253359</c:v>
                </c:pt>
                <c:pt idx="15">
                  <c:v>0.56938385666365487</c:v>
                </c:pt>
                <c:pt idx="16">
                  <c:v>0.63386969994152731</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PTRA!$O$53:$AE$53</c15:sqref>
                        </c15:formulaRef>
                      </c:ext>
                    </c:extLst>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extLst>
                      <c:ext uri="{02D57815-91ED-43cb-92C2-25804820EDAC}">
                        <c15:formulaRef>
                          <c15:sqref>PTRA!$O$58:$AE$58</c15:sqref>
                        </c15:formulaRef>
                      </c:ext>
                    </c:extLst>
                    <c:numCache>
                      <c:formatCode>0.00</c:formatCode>
                      <c:ptCount val="17"/>
                      <c:pt idx="0">
                        <c:v>7.0871562613617858</c:v>
                      </c:pt>
                      <c:pt idx="1">
                        <c:v>7.4801228657068002</c:v>
                      </c:pt>
                      <c:pt idx="2">
                        <c:v>7.82370468440077</c:v>
                      </c:pt>
                      <c:pt idx="3">
                        <c:v>7.5383434239180964</c:v>
                      </c:pt>
                      <c:pt idx="4">
                        <c:v>7.5653404514608189</c:v>
                      </c:pt>
                      <c:pt idx="5">
                        <c:v>9.593217805191923</c:v>
                      </c:pt>
                      <c:pt idx="6">
                        <c:v>12.574004165420568</c:v>
                      </c:pt>
                      <c:pt idx="7">
                        <c:v>15.778919097044399</c:v>
                      </c:pt>
                      <c:pt idx="9">
                        <c:v>7.0871562613617858</c:v>
                      </c:pt>
                      <c:pt idx="10">
                        <c:v>7.4801228657068002</c:v>
                      </c:pt>
                      <c:pt idx="11">
                        <c:v>7.82370468440077</c:v>
                      </c:pt>
                      <c:pt idx="12">
                        <c:v>7.5383434239180964</c:v>
                      </c:pt>
                      <c:pt idx="13">
                        <c:v>7.5653404514608189</c:v>
                      </c:pt>
                      <c:pt idx="14">
                        <c:v>9.0149227346886747</c:v>
                      </c:pt>
                      <c:pt idx="15">
                        <c:v>10.728033128523979</c:v>
                      </c:pt>
                      <c:pt idx="16">
                        <c:v>12.008828459068814</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PTRA!$O$60:$AE$60</c:f>
              <c:numCache>
                <c:formatCode>0.00</c:formatCode>
                <c:ptCount val="17"/>
                <c:pt idx="0">
                  <c:v>129.44461451795985</c:v>
                </c:pt>
                <c:pt idx="1">
                  <c:v>132.34014617109597</c:v>
                </c:pt>
                <c:pt idx="2">
                  <c:v>134.04826202079965</c:v>
                </c:pt>
                <c:pt idx="3">
                  <c:v>127.10352266958004</c:v>
                </c:pt>
                <c:pt idx="4">
                  <c:v>126.10670355428464</c:v>
                </c:pt>
                <c:pt idx="5">
                  <c:v>145.44855228974188</c:v>
                </c:pt>
                <c:pt idx="6">
                  <c:v>176.16742918651121</c:v>
                </c:pt>
                <c:pt idx="7">
                  <c:v>208.94274359535567</c:v>
                </c:pt>
                <c:pt idx="9">
                  <c:v>129.44461451795985</c:v>
                </c:pt>
                <c:pt idx="10">
                  <c:v>132.34014617109597</c:v>
                </c:pt>
                <c:pt idx="11">
                  <c:v>134.04826202079965</c:v>
                </c:pt>
                <c:pt idx="12">
                  <c:v>127.10352266958004</c:v>
                </c:pt>
                <c:pt idx="13">
                  <c:v>126.10670355428464</c:v>
                </c:pt>
                <c:pt idx="14">
                  <c:v>136.68067246995199</c:v>
                </c:pt>
                <c:pt idx="15">
                  <c:v>150.30454830588019</c:v>
                </c:pt>
                <c:pt idx="16">
                  <c:v>159.01961028964422</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PTRA!$O$77:$AE$77</c:f>
              <c:numCache>
                <c:formatCode>0%</c:formatCode>
                <c:ptCount val="17"/>
                <c:pt idx="0">
                  <c:v>0.25414691943127965</c:v>
                </c:pt>
                <c:pt idx="1">
                  <c:v>0.25414691943127965</c:v>
                </c:pt>
                <c:pt idx="2">
                  <c:v>0.25414691943127965</c:v>
                </c:pt>
                <c:pt idx="3" formatCode="0.00">
                  <c:v>0.25414691943127965</c:v>
                </c:pt>
                <c:pt idx="4" formatCode="0.00">
                  <c:v>0.25414691943127965</c:v>
                </c:pt>
                <c:pt idx="5">
                  <c:v>0.25414691943127965</c:v>
                </c:pt>
                <c:pt idx="6">
                  <c:v>0.25414691943127965</c:v>
                </c:pt>
                <c:pt idx="7">
                  <c:v>0.25414691943127965</c:v>
                </c:pt>
                <c:pt idx="9">
                  <c:v>0.25414691943127965</c:v>
                </c:pt>
                <c:pt idx="10">
                  <c:v>0.25414691943127965</c:v>
                </c:pt>
                <c:pt idx="11">
                  <c:v>0.25414691943127965</c:v>
                </c:pt>
                <c:pt idx="12">
                  <c:v>0.25414691943127965</c:v>
                </c:pt>
                <c:pt idx="13">
                  <c:v>0.25414691943127965</c:v>
                </c:pt>
                <c:pt idx="14">
                  <c:v>0.22936759478672983</c:v>
                </c:pt>
                <c:pt idx="15">
                  <c:v>0.20700425429502367</c:v>
                </c:pt>
                <c:pt idx="16">
                  <c:v>0.18682133950125882</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PTRA!$O$78:$AE$78</c:f>
              <c:numCache>
                <c:formatCode>0%</c:formatCode>
                <c:ptCount val="17"/>
                <c:pt idx="0">
                  <c:v>5.0000000000000001E-3</c:v>
                </c:pt>
                <c:pt idx="1">
                  <c:v>5.0000000000000001E-3</c:v>
                </c:pt>
                <c:pt idx="2">
                  <c:v>5.0000000000000001E-3</c:v>
                </c:pt>
                <c:pt idx="3" formatCode="0.00">
                  <c:v>5.0000000000000001E-3</c:v>
                </c:pt>
                <c:pt idx="4" formatCode="0.000">
                  <c:v>2.75E-2</c:v>
                </c:pt>
                <c:pt idx="5">
                  <c:v>0.05</c:v>
                </c:pt>
                <c:pt idx="6">
                  <c:v>0.1</c:v>
                </c:pt>
                <c:pt idx="7">
                  <c:v>0.15</c:v>
                </c:pt>
                <c:pt idx="9">
                  <c:v>5.0000000000000001E-3</c:v>
                </c:pt>
                <c:pt idx="10">
                  <c:v>5.0000000000000001E-3</c:v>
                </c:pt>
                <c:pt idx="11">
                  <c:v>5.0000000000000001E-3</c:v>
                </c:pt>
                <c:pt idx="12">
                  <c:v>5.0000000000000001E-3</c:v>
                </c:pt>
                <c:pt idx="13" formatCode="0.0%">
                  <c:v>2.75E-2</c:v>
                </c:pt>
                <c:pt idx="14">
                  <c:v>7.0000000000000007E-2</c:v>
                </c:pt>
                <c:pt idx="15">
                  <c:v>0.15</c:v>
                </c:pt>
                <c:pt idx="16">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PTRA!$O$79:$AE$79</c:f>
              <c:numCache>
                <c:formatCode>0%</c:formatCode>
                <c:ptCount val="17"/>
                <c:pt idx="0">
                  <c:v>0</c:v>
                </c:pt>
                <c:pt idx="1">
                  <c:v>0</c:v>
                </c:pt>
                <c:pt idx="2">
                  <c:v>5.0000000000000001E-3</c:v>
                </c:pt>
                <c:pt idx="3" formatCode="0.00">
                  <c:v>5.0000000000000001E-3</c:v>
                </c:pt>
                <c:pt idx="4" formatCode="0.00">
                  <c:v>5.0000000000000001E-3</c:v>
                </c:pt>
                <c:pt idx="5">
                  <c:v>5.0000000000000001E-3</c:v>
                </c:pt>
                <c:pt idx="6">
                  <c:v>5.0000000000000001E-3</c:v>
                </c:pt>
                <c:pt idx="7">
                  <c:v>5.0000000000000001E-3</c:v>
                </c:pt>
                <c:pt idx="9">
                  <c:v>0</c:v>
                </c:pt>
                <c:pt idx="10">
                  <c:v>0</c:v>
                </c:pt>
                <c:pt idx="11">
                  <c:v>5.0000000000000001E-3</c:v>
                </c:pt>
                <c:pt idx="12">
                  <c:v>5.0000000000000001E-3</c:v>
                </c:pt>
                <c:pt idx="13">
                  <c:v>5.0000000000000001E-3</c:v>
                </c:pt>
                <c:pt idx="14">
                  <c:v>0</c:v>
                </c:pt>
                <c:pt idx="15">
                  <c:v>0</c:v>
                </c:pt>
                <c:pt idx="16">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PTRA!$O$80:$AE$80</c:f>
              <c:numCache>
                <c:formatCode>0.0%</c:formatCode>
                <c:ptCount val="17"/>
                <c:pt idx="0">
                  <c:v>0.74085308056872035</c:v>
                </c:pt>
                <c:pt idx="1">
                  <c:v>0.74085308056872035</c:v>
                </c:pt>
                <c:pt idx="2">
                  <c:v>0.73585308056872034</c:v>
                </c:pt>
                <c:pt idx="3">
                  <c:v>0.73585308056872034</c:v>
                </c:pt>
                <c:pt idx="4">
                  <c:v>0.71335308056872027</c:v>
                </c:pt>
                <c:pt idx="5">
                  <c:v>0.6908530805687203</c:v>
                </c:pt>
                <c:pt idx="6">
                  <c:v>0.64085308056872037</c:v>
                </c:pt>
                <c:pt idx="7">
                  <c:v>0.59085308056872032</c:v>
                </c:pt>
                <c:pt idx="9" formatCode="0%">
                  <c:v>0.74085308056872035</c:v>
                </c:pt>
                <c:pt idx="10" formatCode="0%">
                  <c:v>0.74085308056872035</c:v>
                </c:pt>
                <c:pt idx="11" formatCode="0%">
                  <c:v>0.73585308056872034</c:v>
                </c:pt>
                <c:pt idx="12" formatCode="0%">
                  <c:v>0.73585308056872034</c:v>
                </c:pt>
                <c:pt idx="13" formatCode="0%">
                  <c:v>0.71335308056872027</c:v>
                </c:pt>
                <c:pt idx="14">
                  <c:v>0.70063240521327019</c:v>
                </c:pt>
                <c:pt idx="15">
                  <c:v>0.64299574570497631</c:v>
                </c:pt>
                <c:pt idx="16">
                  <c:v>0.56317866049874121</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PTRA!$O$82:$AE$82</c:f>
              <c:numCache>
                <c:formatCode>0%</c:formatCode>
                <c:ptCount val="17"/>
                <c:pt idx="0">
                  <c:v>0.53206565737051803</c:v>
                </c:pt>
                <c:pt idx="1">
                  <c:v>0.53206565737051803</c:v>
                </c:pt>
                <c:pt idx="2">
                  <c:v>0.53206565737051803</c:v>
                </c:pt>
                <c:pt idx="3" formatCode="0.00">
                  <c:v>0.53206565737051803</c:v>
                </c:pt>
                <c:pt idx="4" formatCode="0.00">
                  <c:v>0.53206565737051803</c:v>
                </c:pt>
                <c:pt idx="5">
                  <c:v>0.53206565737051803</c:v>
                </c:pt>
                <c:pt idx="6">
                  <c:v>0.53206565737051803</c:v>
                </c:pt>
                <c:pt idx="7">
                  <c:v>0.53206565737051803</c:v>
                </c:pt>
                <c:pt idx="9">
                  <c:v>0.53206565737051803</c:v>
                </c:pt>
                <c:pt idx="10">
                  <c:v>0.53206565737051803</c:v>
                </c:pt>
                <c:pt idx="11">
                  <c:v>0.53206565737051803</c:v>
                </c:pt>
                <c:pt idx="12">
                  <c:v>0.53206565737051803</c:v>
                </c:pt>
                <c:pt idx="13">
                  <c:v>0.53206565737051803</c:v>
                </c:pt>
                <c:pt idx="14">
                  <c:v>0.48018925577689242</c:v>
                </c:pt>
                <c:pt idx="15">
                  <c:v>0.45617979298804778</c:v>
                </c:pt>
                <c:pt idx="16">
                  <c:v>0.41170226317171299</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PTRA!$O$83:$AE$83</c:f>
              <c:numCache>
                <c:formatCode>0.0%</c:formatCode>
                <c:ptCount val="17"/>
                <c:pt idx="0">
                  <c:v>0.01</c:v>
                </c:pt>
                <c:pt idx="1">
                  <c:v>0.01</c:v>
                </c:pt>
                <c:pt idx="2">
                  <c:v>0.01</c:v>
                </c:pt>
                <c:pt idx="3" formatCode="0.00">
                  <c:v>0.01</c:v>
                </c:pt>
                <c:pt idx="4" formatCode="0.00">
                  <c:v>3.0000000000000002E-2</c:v>
                </c:pt>
                <c:pt idx="5" formatCode="0%">
                  <c:v>0.05</c:v>
                </c:pt>
                <c:pt idx="6" formatCode="0%">
                  <c:v>0.1</c:v>
                </c:pt>
                <c:pt idx="7" formatCode="0%">
                  <c:v>0.15</c:v>
                </c:pt>
                <c:pt idx="9" formatCode="0%">
                  <c:v>0.01</c:v>
                </c:pt>
                <c:pt idx="10" formatCode="0%">
                  <c:v>0.01</c:v>
                </c:pt>
                <c:pt idx="11" formatCode="0%">
                  <c:v>0.01</c:v>
                </c:pt>
                <c:pt idx="12" formatCode="0%">
                  <c:v>0.01</c:v>
                </c:pt>
                <c:pt idx="13" formatCode="0%">
                  <c:v>3.0000000000000002E-2</c:v>
                </c:pt>
                <c:pt idx="14" formatCode="0%">
                  <c:v>7.0000000000000007E-2</c:v>
                </c:pt>
                <c:pt idx="15" formatCode="0%">
                  <c:v>0.15</c:v>
                </c:pt>
                <c:pt idx="16"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PTRA!$O$84:$AE$84</c:f>
              <c:numCache>
                <c:formatCode>0.00%</c:formatCode>
                <c:ptCount val="17"/>
                <c:pt idx="0">
                  <c:v>2E-3</c:v>
                </c:pt>
                <c:pt idx="1">
                  <c:v>2E-3</c:v>
                </c:pt>
                <c:pt idx="2">
                  <c:v>2E-3</c:v>
                </c:pt>
                <c:pt idx="3" formatCode="0.00">
                  <c:v>2E-3</c:v>
                </c:pt>
                <c:pt idx="4" formatCode="0.00">
                  <c:v>2E-3</c:v>
                </c:pt>
                <c:pt idx="5">
                  <c:v>2E-3</c:v>
                </c:pt>
                <c:pt idx="6">
                  <c:v>2E-3</c:v>
                </c:pt>
                <c:pt idx="7">
                  <c:v>2E-3</c:v>
                </c:pt>
                <c:pt idx="9" formatCode="0%">
                  <c:v>2E-3</c:v>
                </c:pt>
                <c:pt idx="10" formatCode="0%">
                  <c:v>2E-3</c:v>
                </c:pt>
                <c:pt idx="11" formatCode="0%">
                  <c:v>2E-3</c:v>
                </c:pt>
                <c:pt idx="12" formatCode="0%">
                  <c:v>2E-3</c:v>
                </c:pt>
                <c:pt idx="13" formatCode="0%">
                  <c:v>2E-3</c:v>
                </c:pt>
                <c:pt idx="14" formatCode="0.0%">
                  <c:v>0.01</c:v>
                </c:pt>
                <c:pt idx="15" formatCode="0.0%">
                  <c:v>0.02</c:v>
                </c:pt>
                <c:pt idx="16"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PTRA!$O$85:$AE$85</c:f>
              <c:numCache>
                <c:formatCode>0.0%</c:formatCode>
                <c:ptCount val="17"/>
                <c:pt idx="0">
                  <c:v>0.45593434262948196</c:v>
                </c:pt>
                <c:pt idx="1">
                  <c:v>0.45593434262948196</c:v>
                </c:pt>
                <c:pt idx="2">
                  <c:v>0.45593434262948196</c:v>
                </c:pt>
                <c:pt idx="3">
                  <c:v>0.45593434262948196</c:v>
                </c:pt>
                <c:pt idx="4">
                  <c:v>0.43593434262948194</c:v>
                </c:pt>
                <c:pt idx="5">
                  <c:v>0.41593434262948192</c:v>
                </c:pt>
                <c:pt idx="6">
                  <c:v>0.36593434262948199</c:v>
                </c:pt>
                <c:pt idx="7">
                  <c:v>0.31593434262948195</c:v>
                </c:pt>
                <c:pt idx="9" formatCode="0%">
                  <c:v>0.45593434262948196</c:v>
                </c:pt>
                <c:pt idx="10" formatCode="0%">
                  <c:v>0.45593434262948196</c:v>
                </c:pt>
                <c:pt idx="11" formatCode="0%">
                  <c:v>0.45593434262948196</c:v>
                </c:pt>
                <c:pt idx="12" formatCode="0%">
                  <c:v>0.45593434262948196</c:v>
                </c:pt>
                <c:pt idx="13" formatCode="0%">
                  <c:v>0.43593434262948194</c:v>
                </c:pt>
                <c:pt idx="14">
                  <c:v>0.43981074422310762</c:v>
                </c:pt>
                <c:pt idx="15">
                  <c:v>0.37382020701195218</c:v>
                </c:pt>
                <c:pt idx="16">
                  <c:v>0.30829773682828698</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PTRA!$O$87:$AE$87</c:f>
              <c:numCache>
                <c:formatCode>0%</c:formatCode>
                <c:ptCount val="17"/>
                <c:pt idx="0">
                  <c:v>0.81893071119533589</c:v>
                </c:pt>
                <c:pt idx="1">
                  <c:v>0.80255209697142915</c:v>
                </c:pt>
                <c:pt idx="2">
                  <c:v>0.80255209697142915</c:v>
                </c:pt>
                <c:pt idx="3" formatCode="0.00">
                  <c:v>0.79296529717825504</c:v>
                </c:pt>
                <c:pt idx="4" formatCode="0.00">
                  <c:v>0.80336256943146644</c:v>
                </c:pt>
                <c:pt idx="5">
                  <c:v>0.81804195192938378</c:v>
                </c:pt>
                <c:pt idx="6">
                  <c:v>0.86620675096641409</c:v>
                </c:pt>
                <c:pt idx="7">
                  <c:v>0.92478925498134967</c:v>
                </c:pt>
                <c:pt idx="9">
                  <c:v>0.81893071119533589</c:v>
                </c:pt>
                <c:pt idx="10">
                  <c:v>0.80255209697142915</c:v>
                </c:pt>
                <c:pt idx="11">
                  <c:v>0.80255209697142915</c:v>
                </c:pt>
                <c:pt idx="12">
                  <c:v>0.79296529717825504</c:v>
                </c:pt>
                <c:pt idx="13">
                  <c:v>0.80336256943146644</c:v>
                </c:pt>
                <c:pt idx="14">
                  <c:v>0.75381263563007883</c:v>
                </c:pt>
                <c:pt idx="15">
                  <c:v>0.71659313674584368</c:v>
                </c:pt>
                <c:pt idx="16">
                  <c:v>0.6812113506190175</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PTRA!$O$88:$AE$88</c:f>
              <c:numCache>
                <c:formatCode>0%</c:formatCode>
                <c:ptCount val="17"/>
                <c:pt idx="0">
                  <c:v>5.0000000000000001E-3</c:v>
                </c:pt>
                <c:pt idx="1">
                  <c:v>5.0000000000000001E-3</c:v>
                </c:pt>
                <c:pt idx="2">
                  <c:v>5.0000000000000001E-3</c:v>
                </c:pt>
                <c:pt idx="3" formatCode="0.00">
                  <c:v>5.0000000000000001E-3</c:v>
                </c:pt>
                <c:pt idx="4" formatCode="0.00">
                  <c:v>5.0000000000000001E-3</c:v>
                </c:pt>
                <c:pt idx="5">
                  <c:v>0.03</c:v>
                </c:pt>
                <c:pt idx="6">
                  <c:v>3.5000000000000003E-2</c:v>
                </c:pt>
                <c:pt idx="7">
                  <c:v>0.04</c:v>
                </c:pt>
                <c:pt idx="9">
                  <c:v>5.0000000000000001E-3</c:v>
                </c:pt>
                <c:pt idx="10">
                  <c:v>5.0000000000000001E-3</c:v>
                </c:pt>
                <c:pt idx="11">
                  <c:v>5.0000000000000001E-3</c:v>
                </c:pt>
                <c:pt idx="12">
                  <c:v>5.0000000000000001E-3</c:v>
                </c:pt>
                <c:pt idx="13">
                  <c:v>5.0000000000000001E-3</c:v>
                </c:pt>
                <c:pt idx="14">
                  <c:v>0.03</c:v>
                </c:pt>
                <c:pt idx="15">
                  <c:v>0.05</c:v>
                </c:pt>
                <c:pt idx="16">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PTRA!$O$89:$AE$89</c:f>
              <c:numCache>
                <c:formatCode>0%</c:formatCode>
                <c:ptCount val="17"/>
                <c:pt idx="0">
                  <c:v>5.0000000000000001E-3</c:v>
                </c:pt>
                <c:pt idx="1">
                  <c:v>5.0000000000000001E-3</c:v>
                </c:pt>
                <c:pt idx="2">
                  <c:v>5.0000000000000001E-3</c:v>
                </c:pt>
                <c:pt idx="3" formatCode="0.00">
                  <c:v>5.0000000000000001E-3</c:v>
                </c:pt>
                <c:pt idx="4" formatCode="0.00">
                  <c:v>5.0000000000000001E-3</c:v>
                </c:pt>
                <c:pt idx="5" formatCode="0.0%">
                  <c:v>5.0000000000000001E-3</c:v>
                </c:pt>
                <c:pt idx="6" formatCode="0.0%">
                  <c:v>5.0000000000000001E-3</c:v>
                </c:pt>
                <c:pt idx="7" formatCode="0.0%">
                  <c:v>5.0000000000000001E-3</c:v>
                </c:pt>
                <c:pt idx="9">
                  <c:v>5.0000000000000001E-3</c:v>
                </c:pt>
                <c:pt idx="10">
                  <c:v>5.0000000000000001E-3</c:v>
                </c:pt>
                <c:pt idx="11">
                  <c:v>5.0000000000000001E-3</c:v>
                </c:pt>
                <c:pt idx="12">
                  <c:v>5.0000000000000001E-3</c:v>
                </c:pt>
                <c:pt idx="13">
                  <c:v>5.0000000000000001E-3</c:v>
                </c:pt>
                <c:pt idx="14" formatCode="0.0%">
                  <c:v>0.01</c:v>
                </c:pt>
                <c:pt idx="15" formatCode="0.0%">
                  <c:v>0.03</c:v>
                </c:pt>
                <c:pt idx="16" formatCode="0.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PTRA!$O$90:$AE$90</c:f>
              <c:numCache>
                <c:formatCode>0.0%</c:formatCode>
                <c:ptCount val="17"/>
                <c:pt idx="0">
                  <c:v>0.1710692888046641</c:v>
                </c:pt>
                <c:pt idx="1">
                  <c:v>0.18744790302857084</c:v>
                </c:pt>
                <c:pt idx="2">
                  <c:v>0.18744790302857084</c:v>
                </c:pt>
                <c:pt idx="3">
                  <c:v>0.19703470282174496</c:v>
                </c:pt>
                <c:pt idx="4">
                  <c:v>0.18663743056853355</c:v>
                </c:pt>
                <c:pt idx="5">
                  <c:v>0.14695804807061619</c:v>
                </c:pt>
                <c:pt idx="6">
                  <c:v>9.3793249033585879E-2</c:v>
                </c:pt>
                <c:pt idx="7">
                  <c:v>3.0210745018650287E-2</c:v>
                </c:pt>
                <c:pt idx="9" formatCode="0%">
                  <c:v>0.1710692888046641</c:v>
                </c:pt>
                <c:pt idx="10" formatCode="0%">
                  <c:v>0.18744790302857084</c:v>
                </c:pt>
                <c:pt idx="11" formatCode="0%">
                  <c:v>0.18744790302857084</c:v>
                </c:pt>
                <c:pt idx="12" formatCode="0%">
                  <c:v>0.19703470282174496</c:v>
                </c:pt>
                <c:pt idx="13" formatCode="0%">
                  <c:v>0.18663743056853355</c:v>
                </c:pt>
                <c:pt idx="14">
                  <c:v>0.20618736436992113</c:v>
                </c:pt>
                <c:pt idx="15">
                  <c:v>0.20340686325415624</c:v>
                </c:pt>
                <c:pt idx="16">
                  <c:v>0.16878864938098248</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PTRA!$D$219</c:f>
              <c:strCache>
                <c:ptCount val="1"/>
                <c:pt idx="0">
                  <c:v>TPPRCAR</c:v>
                </c:pt>
              </c:strCache>
            </c:strRef>
          </c:tx>
          <c:spPr>
            <a:ln w="28575" cap="rnd">
              <a:solidFill>
                <a:schemeClr val="accent1"/>
              </a:solidFill>
              <a:round/>
            </a:ln>
            <a:effectLst/>
          </c:spPr>
          <c:marker>
            <c:symbol val="none"/>
          </c:marker>
          <c:val>
            <c:numRef>
              <c:f>PTRA!$J$219:$AP$219</c:f>
              <c:numCache>
                <c:formatCode>0.00</c:formatCode>
                <c:ptCount val="33"/>
                <c:pt idx="0">
                  <c:v>81.484814157071753</c:v>
                </c:pt>
                <c:pt idx="1">
                  <c:v>84.02361101254985</c:v>
                </c:pt>
                <c:pt idx="2">
                  <c:v>86.562407868027947</c:v>
                </c:pt>
                <c:pt idx="3">
                  <c:v>89.101204723506044</c:v>
                </c:pt>
                <c:pt idx="4">
                  <c:v>91.313591691856431</c:v>
                </c:pt>
                <c:pt idx="5">
                  <c:v>93.525978660206817</c:v>
                </c:pt>
                <c:pt idx="6">
                  <c:v>95.68422553760422</c:v>
                </c:pt>
                <c:pt idx="7">
                  <c:v>97.842472415001637</c:v>
                </c:pt>
                <c:pt idx="8">
                  <c:v>93.746622585597407</c:v>
                </c:pt>
                <c:pt idx="9">
                  <c:v>94.284516099271045</c:v>
                </c:pt>
                <c:pt idx="10">
                  <c:v>97.198802179917436</c:v>
                </c:pt>
                <c:pt idx="11">
                  <c:v>100.11308826056383</c:v>
                </c:pt>
                <c:pt idx="12">
                  <c:v>103.02737434121022</c:v>
                </c:pt>
                <c:pt idx="13">
                  <c:v>105.94166042185661</c:v>
                </c:pt>
                <c:pt idx="14">
                  <c:v>108.855946502503</c:v>
                </c:pt>
                <c:pt idx="15">
                  <c:v>111.77023258314939</c:v>
                </c:pt>
                <c:pt idx="16">
                  <c:v>114.68451866379579</c:v>
                </c:pt>
                <c:pt idx="17">
                  <c:v>117.59880474444218</c:v>
                </c:pt>
                <c:pt idx="18">
                  <c:v>120.51309082508857</c:v>
                </c:pt>
                <c:pt idx="19">
                  <c:v>124.40451694203242</c:v>
                </c:pt>
                <c:pt idx="20">
                  <c:v>128.29594305897626</c:v>
                </c:pt>
                <c:pt idx="21">
                  <c:v>132.18736917592011</c:v>
                </c:pt>
                <c:pt idx="22">
                  <c:v>136.07879529286396</c:v>
                </c:pt>
                <c:pt idx="23">
                  <c:v>139.97022140980781</c:v>
                </c:pt>
                <c:pt idx="24">
                  <c:v>143.86164752675165</c:v>
                </c:pt>
                <c:pt idx="25">
                  <c:v>147.7530736436955</c:v>
                </c:pt>
                <c:pt idx="26">
                  <c:v>151.64449976063935</c:v>
                </c:pt>
                <c:pt idx="27">
                  <c:v>155.5359258775832</c:v>
                </c:pt>
                <c:pt idx="28">
                  <c:v>159.42735199452704</c:v>
                </c:pt>
                <c:pt idx="29">
                  <c:v>180.45193661229189</c:v>
                </c:pt>
                <c:pt idx="30">
                  <c:v>201.47652123005676</c:v>
                </c:pt>
                <c:pt idx="31">
                  <c:v>201.47652123005676</c:v>
                </c:pt>
                <c:pt idx="32">
                  <c:v>201.47652123005676</c:v>
                </c:pt>
              </c:numCache>
            </c:numRef>
          </c:val>
          <c:smooth val="0"/>
          <c:extLst>
            <c:ext xmlns:c16="http://schemas.microsoft.com/office/drawing/2014/chart" uri="{C3380CC4-5D6E-409C-BE32-E72D297353CC}">
              <c16:uniqueId val="{00000000-5DA7-4BCF-9B88-A448B42D3A15}"/>
            </c:ext>
          </c:extLst>
        </c:ser>
        <c:ser>
          <c:idx val="1"/>
          <c:order val="1"/>
          <c:tx>
            <c:strRef>
              <c:f>PTRA!$D$220</c:f>
              <c:strCache>
                <c:ptCount val="1"/>
                <c:pt idx="0">
                  <c:v>TPPRSUV</c:v>
                </c:pt>
              </c:strCache>
            </c:strRef>
          </c:tx>
          <c:spPr>
            <a:ln w="28575" cap="rnd">
              <a:solidFill>
                <a:schemeClr val="accent2"/>
              </a:solidFill>
              <a:round/>
            </a:ln>
            <a:effectLst/>
          </c:spPr>
          <c:marker>
            <c:symbol val="none"/>
          </c:marker>
          <c:val>
            <c:numRef>
              <c:f>PTRA!$J$220:$AP$220</c:f>
              <c:numCache>
                <c:formatCode>0.00</c:formatCode>
                <c:ptCount val="33"/>
                <c:pt idx="0">
                  <c:v>9.3562062912418789</c:v>
                </c:pt>
                <c:pt idx="1">
                  <c:v>9.6477146828008458</c:v>
                </c:pt>
                <c:pt idx="2">
                  <c:v>9.9392230743598127</c:v>
                </c:pt>
                <c:pt idx="3">
                  <c:v>10.230731465918778</c:v>
                </c:pt>
                <c:pt idx="4">
                  <c:v>10.460589810852998</c:v>
                </c:pt>
                <c:pt idx="5">
                  <c:v>10.69044815578722</c:v>
                </c:pt>
                <c:pt idx="6">
                  <c:v>10.937145668935228</c:v>
                </c:pt>
                <c:pt idx="7">
                  <c:v>11.183843182083237</c:v>
                </c:pt>
                <c:pt idx="8">
                  <c:v>10.715668768060601</c:v>
                </c:pt>
                <c:pt idx="9">
                  <c:v>10.777152462790532</c:v>
                </c:pt>
                <c:pt idx="10">
                  <c:v>11.110268723134338</c:v>
                </c:pt>
                <c:pt idx="11">
                  <c:v>11.443384983478143</c:v>
                </c:pt>
                <c:pt idx="12">
                  <c:v>11.776501243821949</c:v>
                </c:pt>
                <c:pt idx="13">
                  <c:v>12.109617504165755</c:v>
                </c:pt>
                <c:pt idx="14">
                  <c:v>12.44273376450956</c:v>
                </c:pt>
                <c:pt idx="15">
                  <c:v>12.775850024853366</c:v>
                </c:pt>
                <c:pt idx="16">
                  <c:v>13.108966285197171</c:v>
                </c:pt>
                <c:pt idx="17">
                  <c:v>13.442082545540977</c:v>
                </c:pt>
                <c:pt idx="18">
                  <c:v>13.775198805884775</c:v>
                </c:pt>
                <c:pt idx="19">
                  <c:v>14.220006652337869</c:v>
                </c:pt>
                <c:pt idx="20">
                  <c:v>14.664814498790962</c:v>
                </c:pt>
                <c:pt idx="21">
                  <c:v>15.109622345244055</c:v>
                </c:pt>
                <c:pt idx="22">
                  <c:v>15.554430191697149</c:v>
                </c:pt>
                <c:pt idx="23">
                  <c:v>15.999238038150242</c:v>
                </c:pt>
                <c:pt idx="24">
                  <c:v>16.444045884603337</c:v>
                </c:pt>
                <c:pt idx="25">
                  <c:v>16.888853731056432</c:v>
                </c:pt>
                <c:pt idx="26">
                  <c:v>17.333661577509528</c:v>
                </c:pt>
                <c:pt idx="27">
                  <c:v>17.778469423962623</c:v>
                </c:pt>
                <c:pt idx="28">
                  <c:v>18.223277270415711</c:v>
                </c:pt>
                <c:pt idx="29">
                  <c:v>20.626483685071577</c:v>
                </c:pt>
                <c:pt idx="30">
                  <c:v>23.029690099727446</c:v>
                </c:pt>
                <c:pt idx="31">
                  <c:v>23.029690099727446</c:v>
                </c:pt>
                <c:pt idx="32">
                  <c:v>23.029690099727446</c:v>
                </c:pt>
              </c:numCache>
            </c:numRef>
          </c:val>
          <c:smooth val="0"/>
          <c:extLst>
            <c:ext xmlns:c16="http://schemas.microsoft.com/office/drawing/2014/chart" uri="{C3380CC4-5D6E-409C-BE32-E72D297353CC}">
              <c16:uniqueId val="{00000001-5DA7-4BCF-9B88-A448B42D3A15}"/>
            </c:ext>
          </c:extLst>
        </c:ser>
        <c:ser>
          <c:idx val="2"/>
          <c:order val="2"/>
          <c:tx>
            <c:strRef>
              <c:f>PTRA!$D$221</c:f>
              <c:strCache>
                <c:ptCount val="1"/>
                <c:pt idx="0">
                  <c:v>TPPRMOT</c:v>
                </c:pt>
              </c:strCache>
            </c:strRef>
          </c:tx>
          <c:spPr>
            <a:ln w="28575" cap="rnd">
              <a:solidFill>
                <a:schemeClr val="accent3"/>
              </a:solidFill>
              <a:round/>
            </a:ln>
            <a:effectLst/>
          </c:spPr>
          <c:marker>
            <c:symbol val="none"/>
          </c:marker>
          <c:val>
            <c:numRef>
              <c:f>PTRA!$J$221:$AP$221</c:f>
              <c:numCache>
                <c:formatCode>0.00</c:formatCode>
                <c:ptCount val="33"/>
                <c:pt idx="0">
                  <c:v>3.1893877916903843</c:v>
                </c:pt>
                <c:pt idx="1">
                  <c:v>3.1544528903256581</c:v>
                </c:pt>
                <c:pt idx="2">
                  <c:v>3.1195179889609319</c:v>
                </c:pt>
                <c:pt idx="3">
                  <c:v>3.0845830875962057</c:v>
                </c:pt>
                <c:pt idx="4">
                  <c:v>3.1538857729114129</c:v>
                </c:pt>
                <c:pt idx="5">
                  <c:v>3.2231884582266197</c:v>
                </c:pt>
                <c:pt idx="6">
                  <c:v>3.2975681816455502</c:v>
                </c:pt>
                <c:pt idx="7">
                  <c:v>3.3719479050644807</c:v>
                </c:pt>
                <c:pt idx="8">
                  <c:v>3.2307925160925155</c:v>
                </c:pt>
                <c:pt idx="9">
                  <c:v>3.2493299555276773</c:v>
                </c:pt>
                <c:pt idx="10">
                  <c:v>3.3497650794758278</c:v>
                </c:pt>
                <c:pt idx="11">
                  <c:v>3.4502002034239783</c:v>
                </c:pt>
                <c:pt idx="12">
                  <c:v>3.5506353273721287</c:v>
                </c:pt>
                <c:pt idx="13">
                  <c:v>3.6510704513202792</c:v>
                </c:pt>
                <c:pt idx="14">
                  <c:v>3.7515055752684296</c:v>
                </c:pt>
                <c:pt idx="15">
                  <c:v>3.8519406992165801</c:v>
                </c:pt>
                <c:pt idx="16">
                  <c:v>3.9523758231647306</c:v>
                </c:pt>
                <c:pt idx="17">
                  <c:v>4.0528109471128806</c:v>
                </c:pt>
                <c:pt idx="18">
                  <c:v>4.1532460710610311</c:v>
                </c:pt>
                <c:pt idx="19">
                  <c:v>4.2873563998258852</c:v>
                </c:pt>
                <c:pt idx="20">
                  <c:v>4.4214667285907394</c:v>
                </c:pt>
                <c:pt idx="21">
                  <c:v>4.5555770573555936</c:v>
                </c:pt>
                <c:pt idx="22">
                  <c:v>4.6896873861204478</c:v>
                </c:pt>
                <c:pt idx="23">
                  <c:v>4.823797714885302</c:v>
                </c:pt>
                <c:pt idx="24">
                  <c:v>4.9579080436501561</c:v>
                </c:pt>
                <c:pt idx="25">
                  <c:v>5.0920183724150103</c:v>
                </c:pt>
                <c:pt idx="26">
                  <c:v>5.2261287011798645</c:v>
                </c:pt>
                <c:pt idx="27">
                  <c:v>5.3602390299447187</c:v>
                </c:pt>
                <c:pt idx="28">
                  <c:v>5.4943493587095693</c:v>
                </c:pt>
                <c:pt idx="29">
                  <c:v>6.2189202153823757</c:v>
                </c:pt>
                <c:pt idx="30">
                  <c:v>6.9434910720551821</c:v>
                </c:pt>
                <c:pt idx="31">
                  <c:v>6.9434910720551821</c:v>
                </c:pt>
                <c:pt idx="32">
                  <c:v>6.9434910720551821</c:v>
                </c:pt>
              </c:numCache>
            </c:numRef>
          </c:val>
          <c:smooth val="0"/>
          <c:extLst>
            <c:ext xmlns:c16="http://schemas.microsoft.com/office/drawing/2014/chart" uri="{C3380CC4-5D6E-409C-BE32-E72D297353CC}">
              <c16:uniqueId val="{00000002-5DA7-4BCF-9B88-A448B42D3A15}"/>
            </c:ext>
          </c:extLst>
        </c:ser>
        <c:ser>
          <c:idx val="3"/>
          <c:order val="3"/>
          <c:tx>
            <c:strRef>
              <c:f>PTRA!$D$222</c:f>
              <c:strCache>
                <c:ptCount val="1"/>
                <c:pt idx="0">
                  <c:v>TPPUBUS</c:v>
                </c:pt>
              </c:strCache>
            </c:strRef>
          </c:tx>
          <c:spPr>
            <a:ln w="28575" cap="rnd">
              <a:solidFill>
                <a:schemeClr val="accent4"/>
              </a:solidFill>
              <a:round/>
            </a:ln>
            <a:effectLst/>
          </c:spPr>
          <c:marker>
            <c:symbol val="none"/>
          </c:marker>
          <c:val>
            <c:numRef>
              <c:f>PTRA!$J$222:$AP$222</c:f>
              <c:numCache>
                <c:formatCode>0.00</c:formatCode>
                <c:ptCount val="33"/>
                <c:pt idx="0">
                  <c:v>1.4990333520535337</c:v>
                </c:pt>
                <c:pt idx="1">
                  <c:v>0.77885260922987343</c:v>
                </c:pt>
                <c:pt idx="2">
                  <c:v>0.93971372874215786</c:v>
                </c:pt>
                <c:pt idx="3">
                  <c:v>1.1005748482544424</c:v>
                </c:pt>
                <c:pt idx="4">
                  <c:v>0.93083933163040378</c:v>
                </c:pt>
                <c:pt idx="5">
                  <c:v>0.76110381500636504</c:v>
                </c:pt>
                <c:pt idx="6">
                  <c:v>0.76999357397639234</c:v>
                </c:pt>
                <c:pt idx="7">
                  <c:v>0.77888333294641976</c:v>
                </c:pt>
                <c:pt idx="8">
                  <c:v>0.80526146705118407</c:v>
                </c:pt>
                <c:pt idx="9">
                  <c:v>0.79864085897196158</c:v>
                </c:pt>
                <c:pt idx="10">
                  <c:v>0.80014418379960661</c:v>
                </c:pt>
                <c:pt idx="11">
                  <c:v>0.80164750862725165</c:v>
                </c:pt>
                <c:pt idx="12">
                  <c:v>0.80315083345489668</c:v>
                </c:pt>
                <c:pt idx="13">
                  <c:v>0.80465415828254172</c:v>
                </c:pt>
                <c:pt idx="14">
                  <c:v>0.80615748311018676</c:v>
                </c:pt>
                <c:pt idx="15">
                  <c:v>0.80766080793783179</c:v>
                </c:pt>
                <c:pt idx="16">
                  <c:v>0.80916413276547683</c:v>
                </c:pt>
                <c:pt idx="17">
                  <c:v>0.81066745759312187</c:v>
                </c:pt>
                <c:pt idx="18">
                  <c:v>0.81217078242076668</c:v>
                </c:pt>
                <c:pt idx="19">
                  <c:v>0.80722998005492086</c:v>
                </c:pt>
                <c:pt idx="20">
                  <c:v>0.80228917768907504</c:v>
                </c:pt>
                <c:pt idx="21">
                  <c:v>0.79734837532322922</c:v>
                </c:pt>
                <c:pt idx="22">
                  <c:v>0.7924075729573834</c:v>
                </c:pt>
                <c:pt idx="23">
                  <c:v>0.78746677059153758</c:v>
                </c:pt>
                <c:pt idx="24">
                  <c:v>0.78252596822569176</c:v>
                </c:pt>
                <c:pt idx="25">
                  <c:v>0.77758516585984594</c:v>
                </c:pt>
                <c:pt idx="26">
                  <c:v>0.77264436349400012</c:v>
                </c:pt>
                <c:pt idx="27">
                  <c:v>0.7677035611281543</c:v>
                </c:pt>
                <c:pt idx="28">
                  <c:v>0.7627627587623087</c:v>
                </c:pt>
                <c:pt idx="29">
                  <c:v>0.7249555990057408</c:v>
                </c:pt>
                <c:pt idx="30">
                  <c:v>0.68714843924917279</c:v>
                </c:pt>
                <c:pt idx="31">
                  <c:v>0.68714843924917279</c:v>
                </c:pt>
                <c:pt idx="32">
                  <c:v>0.68714843924917279</c:v>
                </c:pt>
              </c:numCache>
            </c:numRef>
          </c:val>
          <c:smooth val="0"/>
          <c:extLst>
            <c:ext xmlns:c16="http://schemas.microsoft.com/office/drawing/2014/chart" uri="{C3380CC4-5D6E-409C-BE32-E72D297353CC}">
              <c16:uniqueId val="{00000003-5DA7-4BCF-9B88-A448B42D3A15}"/>
            </c:ext>
          </c:extLst>
        </c:ser>
        <c:ser>
          <c:idx val="4"/>
          <c:order val="4"/>
          <c:tx>
            <c:strRef>
              <c:f>PTRA!$D$223</c:f>
              <c:strCache>
                <c:ptCount val="1"/>
                <c:pt idx="0">
                  <c:v>TPPUMBT</c:v>
                </c:pt>
              </c:strCache>
            </c:strRef>
          </c:tx>
          <c:spPr>
            <a:ln w="28575" cap="rnd">
              <a:solidFill>
                <a:schemeClr val="accent5"/>
              </a:solidFill>
              <a:round/>
            </a:ln>
            <a:effectLst/>
          </c:spPr>
          <c:marker>
            <c:symbol val="none"/>
          </c:marker>
          <c:val>
            <c:numRef>
              <c:f>PTRA!$J$223:$AP$223</c:f>
              <c:numCache>
                <c:formatCode>0.00</c:formatCode>
                <c:ptCount val="33"/>
                <c:pt idx="0">
                  <c:v>6.4978638621089795</c:v>
                </c:pt>
                <c:pt idx="1">
                  <c:v>6.2129452564268437</c:v>
                </c:pt>
                <c:pt idx="2">
                  <c:v>6.5128577066124906</c:v>
                </c:pt>
                <c:pt idx="3">
                  <c:v>6.8127701567981385</c:v>
                </c:pt>
                <c:pt idx="4" formatCode="0.000">
                  <c:v>7.0016088184448213</c:v>
                </c:pt>
                <c:pt idx="5">
                  <c:v>7.1904474800915041</c:v>
                </c:pt>
                <c:pt idx="6">
                  <c:v>7.2744325340675111</c:v>
                </c:pt>
                <c:pt idx="7">
                  <c:v>7.3584175880435181</c:v>
                </c:pt>
                <c:pt idx="8">
                  <c:v>7.6076222092311436</c:v>
                </c:pt>
                <c:pt idx="9">
                  <c:v>7.5450747173630077</c:v>
                </c:pt>
                <c:pt idx="10">
                  <c:v>7.5592772190527517</c:v>
                </c:pt>
                <c:pt idx="11">
                  <c:v>7.5734797207424958</c:v>
                </c:pt>
                <c:pt idx="12">
                  <c:v>7.5876822224322398</c:v>
                </c:pt>
                <c:pt idx="13">
                  <c:v>7.6018847241219838</c:v>
                </c:pt>
                <c:pt idx="14">
                  <c:v>7.6160872258117278</c:v>
                </c:pt>
                <c:pt idx="15">
                  <c:v>7.6302897275014718</c:v>
                </c:pt>
                <c:pt idx="16">
                  <c:v>7.6444922291912158</c:v>
                </c:pt>
                <c:pt idx="17">
                  <c:v>7.6586947308809599</c:v>
                </c:pt>
                <c:pt idx="18">
                  <c:v>7.6728972325707065</c:v>
                </c:pt>
                <c:pt idx="19">
                  <c:v>7.6262195268219468</c:v>
                </c:pt>
                <c:pt idx="20">
                  <c:v>7.5795418210731871</c:v>
                </c:pt>
                <c:pt idx="21">
                  <c:v>7.5328641153244273</c:v>
                </c:pt>
                <c:pt idx="22">
                  <c:v>7.4861864095756676</c:v>
                </c:pt>
                <c:pt idx="23">
                  <c:v>7.4395087038269079</c:v>
                </c:pt>
                <c:pt idx="24">
                  <c:v>7.3928309980781481</c:v>
                </c:pt>
                <c:pt idx="25">
                  <c:v>7.3461532923293884</c:v>
                </c:pt>
                <c:pt idx="26">
                  <c:v>7.2994755865806287</c:v>
                </c:pt>
                <c:pt idx="27">
                  <c:v>7.2527978808318689</c:v>
                </c:pt>
                <c:pt idx="28">
                  <c:v>7.2061201750831048</c:v>
                </c:pt>
                <c:pt idx="29">
                  <c:v>6.8489410475566483</c:v>
                </c:pt>
                <c:pt idx="30">
                  <c:v>6.4917619200301919</c:v>
                </c:pt>
                <c:pt idx="31">
                  <c:v>6.4917619200301919</c:v>
                </c:pt>
                <c:pt idx="32">
                  <c:v>6.4917619200301919</c:v>
                </c:pt>
              </c:numCache>
            </c:numRef>
          </c:val>
          <c:smooth val="0"/>
          <c:extLst>
            <c:ext xmlns:c16="http://schemas.microsoft.com/office/drawing/2014/chart" uri="{C3380CC4-5D6E-409C-BE32-E72D297353CC}">
              <c16:uniqueId val="{00000004-5DA7-4BCF-9B88-A448B42D3A15}"/>
            </c:ext>
          </c:extLst>
        </c:ser>
        <c:ser>
          <c:idx val="5"/>
          <c:order val="5"/>
          <c:tx>
            <c:strRef>
              <c:f>PTRA!$D$224</c:f>
              <c:strCache>
                <c:ptCount val="1"/>
                <c:pt idx="0">
                  <c:v>TPPUBRT</c:v>
                </c:pt>
              </c:strCache>
            </c:strRef>
          </c:tx>
          <c:spPr>
            <a:ln w="28575" cap="rnd">
              <a:solidFill>
                <a:schemeClr val="accent6"/>
              </a:solidFill>
              <a:round/>
            </a:ln>
            <a:effectLst/>
          </c:spPr>
          <c:marker>
            <c:symbol val="none"/>
          </c:marker>
          <c:val>
            <c:numRef>
              <c:f>PTRA!$J$224:$AP$224</c:f>
              <c:numCache>
                <c:formatCode>0.00</c:formatCode>
                <c:ptCount val="33"/>
                <c:pt idx="0">
                  <c:v>0</c:v>
                </c:pt>
                <c:pt idx="1">
                  <c:v>2.4481641737668241E-2</c:v>
                </c:pt>
                <c:pt idx="2">
                  <c:v>2.7875678632381207E-2</c:v>
                </c:pt>
                <c:pt idx="3">
                  <c:v>3.1269715527094177E-2</c:v>
                </c:pt>
                <c:pt idx="4">
                  <c:v>4.7094773068544926E-2</c:v>
                </c:pt>
                <c:pt idx="5">
                  <c:v>6.2919830609995675E-2</c:v>
                </c:pt>
                <c:pt idx="6">
                  <c:v>8.2239758862255277E-2</c:v>
                </c:pt>
                <c:pt idx="7">
                  <c:v>0.10155968711451488</c:v>
                </c:pt>
                <c:pt idx="8">
                  <c:v>0.10425069329756113</c:v>
                </c:pt>
                <c:pt idx="9">
                  <c:v>0.29374525410217339</c:v>
                </c:pt>
                <c:pt idx="10">
                  <c:v>0.32419393261645385</c:v>
                </c:pt>
                <c:pt idx="11">
                  <c:v>0.35464261113073431</c:v>
                </c:pt>
                <c:pt idx="12">
                  <c:v>0.38509128964501477</c:v>
                </c:pt>
                <c:pt idx="13">
                  <c:v>0.41553996815929523</c:v>
                </c:pt>
                <c:pt idx="14">
                  <c:v>0.44598864667357568</c:v>
                </c:pt>
                <c:pt idx="15">
                  <c:v>0.47643732518785614</c:v>
                </c:pt>
                <c:pt idx="16">
                  <c:v>0.50688600370213666</c:v>
                </c:pt>
                <c:pt idx="17">
                  <c:v>0.53733468221641711</c:v>
                </c:pt>
                <c:pt idx="18">
                  <c:v>0.56778336073069768</c:v>
                </c:pt>
                <c:pt idx="19">
                  <c:v>0.61894654287448447</c:v>
                </c:pt>
                <c:pt idx="20">
                  <c:v>0.67010972501827126</c:v>
                </c:pt>
                <c:pt idx="21">
                  <c:v>0.72127290716205805</c:v>
                </c:pt>
                <c:pt idx="22">
                  <c:v>0.77243608930584484</c:v>
                </c:pt>
                <c:pt idx="23">
                  <c:v>0.82359927144963163</c:v>
                </c:pt>
                <c:pt idx="24">
                  <c:v>0.87476245359341842</c:v>
                </c:pt>
                <c:pt idx="25">
                  <c:v>0.92592563573720521</c:v>
                </c:pt>
                <c:pt idx="26">
                  <c:v>0.977088817880992</c:v>
                </c:pt>
                <c:pt idx="27">
                  <c:v>1.0282520000247788</c:v>
                </c:pt>
                <c:pt idx="28">
                  <c:v>1.0794151821685656</c:v>
                </c:pt>
                <c:pt idx="29">
                  <c:v>1.3169948504595808</c:v>
                </c:pt>
                <c:pt idx="30">
                  <c:v>1.5545745187505957</c:v>
                </c:pt>
                <c:pt idx="31">
                  <c:v>1.5545745187505957</c:v>
                </c:pt>
                <c:pt idx="32">
                  <c:v>1.5545745187505957</c:v>
                </c:pt>
              </c:numCache>
            </c:numRef>
          </c:val>
          <c:smooth val="0"/>
          <c:extLst>
            <c:ext xmlns:c16="http://schemas.microsoft.com/office/drawing/2014/chart" uri="{C3380CC4-5D6E-409C-BE32-E72D297353CC}">
              <c16:uniqueId val="{00000005-5DA7-4BCF-9B88-A448B42D3A15}"/>
            </c:ext>
          </c:extLst>
        </c:ser>
        <c:ser>
          <c:idx val="6"/>
          <c:order val="6"/>
          <c:tx>
            <c:strRef>
              <c:f>PTRA!$D$225</c:f>
              <c:strCache>
                <c:ptCount val="1"/>
                <c:pt idx="0">
                  <c:v>TPPUMER</c:v>
                </c:pt>
              </c:strCache>
            </c:strRef>
          </c:tx>
          <c:spPr>
            <a:ln w="28575" cap="rnd">
              <a:solidFill>
                <a:schemeClr val="accent1">
                  <a:lumMod val="60000"/>
                </a:schemeClr>
              </a:solidFill>
              <a:round/>
            </a:ln>
            <a:effectLst/>
          </c:spPr>
          <c:marker>
            <c:symbol val="none"/>
          </c:marker>
          <c:val>
            <c:numRef>
              <c:f>PTRA!$J$225:$AP$225</c:f>
              <c:numCache>
                <c:formatCode>0.00</c:formatCode>
                <c:ptCount val="33"/>
                <c:pt idx="0">
                  <c:v>15.8</c:v>
                </c:pt>
                <c:pt idx="1">
                  <c:v>13.600515897817941</c:v>
                </c:pt>
                <c:pt idx="2">
                  <c:v>12.823088471306509</c:v>
                </c:pt>
                <c:pt idx="3">
                  <c:v>12.045661044795077</c:v>
                </c:pt>
                <c:pt idx="4">
                  <c:v>10.458317282147467</c:v>
                </c:pt>
                <c:pt idx="5">
                  <c:v>8.8709735194998576</c:v>
                </c:pt>
                <c:pt idx="6">
                  <c:v>8.9745872642518663</c:v>
                </c:pt>
                <c:pt idx="7">
                  <c:v>9.0782010090038749</c:v>
                </c:pt>
                <c:pt idx="8">
                  <c:v>9.3856488558330522</c:v>
                </c:pt>
                <c:pt idx="9">
                  <c:v>9.3084829846394115</c:v>
                </c:pt>
                <c:pt idx="10">
                  <c:v>9.3260048449616253</c:v>
                </c:pt>
                <c:pt idx="11">
                  <c:v>9.3435267052838391</c:v>
                </c:pt>
                <c:pt idx="12">
                  <c:v>9.3610485656060529</c:v>
                </c:pt>
                <c:pt idx="13">
                  <c:v>9.3785704259282667</c:v>
                </c:pt>
                <c:pt idx="14">
                  <c:v>9.3960922862504805</c:v>
                </c:pt>
                <c:pt idx="15">
                  <c:v>9.4136141465726944</c:v>
                </c:pt>
                <c:pt idx="16">
                  <c:v>9.4311360068949082</c:v>
                </c:pt>
                <c:pt idx="17">
                  <c:v>9.448657867217122</c:v>
                </c:pt>
                <c:pt idx="18">
                  <c:v>9.4661797275393322</c:v>
                </c:pt>
                <c:pt idx="19">
                  <c:v>9.408592672937413</c:v>
                </c:pt>
                <c:pt idx="20">
                  <c:v>9.3510056183354937</c:v>
                </c:pt>
                <c:pt idx="21">
                  <c:v>9.2934185637335744</c:v>
                </c:pt>
                <c:pt idx="22">
                  <c:v>9.2358315091316552</c:v>
                </c:pt>
                <c:pt idx="23">
                  <c:v>9.1782444545297359</c:v>
                </c:pt>
                <c:pt idx="24">
                  <c:v>9.1206573999278167</c:v>
                </c:pt>
                <c:pt idx="25">
                  <c:v>9.0630703453258974</c:v>
                </c:pt>
                <c:pt idx="26">
                  <c:v>9.0054832907239781</c:v>
                </c:pt>
                <c:pt idx="27">
                  <c:v>8.9478962361220589</c:v>
                </c:pt>
                <c:pt idx="28">
                  <c:v>8.8903091815201449</c:v>
                </c:pt>
                <c:pt idx="29">
                  <c:v>8.4496514073304176</c:v>
                </c:pt>
                <c:pt idx="30">
                  <c:v>8.0089936331406903</c:v>
                </c:pt>
                <c:pt idx="31">
                  <c:v>8.0089936331406903</c:v>
                </c:pt>
                <c:pt idx="32">
                  <c:v>8.0089936331406903</c:v>
                </c:pt>
              </c:numCache>
            </c:numRef>
          </c:val>
          <c:smooth val="0"/>
          <c:extLst>
            <c:ext xmlns:c16="http://schemas.microsoft.com/office/drawing/2014/chart" uri="{C3380CC4-5D6E-409C-BE32-E72D297353CC}">
              <c16:uniqueId val="{00000006-5DA7-4BCF-9B88-A448B42D3A15}"/>
            </c:ext>
          </c:extLst>
        </c:ser>
        <c:ser>
          <c:idx val="7"/>
          <c:order val="7"/>
          <c:tx>
            <c:strRef>
              <c:f>PTRA!$D$226</c:f>
              <c:strCache>
                <c:ptCount val="1"/>
                <c:pt idx="0">
                  <c:v>TPPUGAT</c:v>
                </c:pt>
              </c:strCache>
            </c:strRef>
          </c:tx>
          <c:spPr>
            <a:ln w="28575" cap="rnd">
              <a:solidFill>
                <a:schemeClr val="accent2">
                  <a:lumMod val="60000"/>
                </a:schemeClr>
              </a:solidFill>
              <a:round/>
            </a:ln>
            <a:effectLst/>
          </c:spPr>
          <c:marker>
            <c:symbol val="none"/>
          </c:marker>
          <c:val>
            <c:numRef>
              <c:f>PTRA!$J$226:$AP$226</c:f>
              <c:numCache>
                <c:formatCode>0.00</c:formatCode>
                <c:ptCount val="33"/>
                <c:pt idx="0">
                  <c:v>0</c:v>
                </c:pt>
                <c:pt idx="1">
                  <c:v>0.55248564192940541</c:v>
                </c:pt>
                <c:pt idx="2">
                  <c:v>0.57044550348095591</c:v>
                </c:pt>
                <c:pt idx="3">
                  <c:v>0.58840536503250629</c:v>
                </c:pt>
                <c:pt idx="4">
                  <c:v>0.60651580293507878</c:v>
                </c:pt>
                <c:pt idx="5">
                  <c:v>0.62462624083765128</c:v>
                </c:pt>
                <c:pt idx="6">
                  <c:v>0.64844460531963566</c:v>
                </c:pt>
                <c:pt idx="7">
                  <c:v>0.67226296980162004</c:v>
                </c:pt>
                <c:pt idx="8">
                  <c:v>0.64616666359533781</c:v>
                </c:pt>
                <c:pt idx="9">
                  <c:v>0.64672402075743496</c:v>
                </c:pt>
                <c:pt idx="10">
                  <c:v>0.66645524691108848</c:v>
                </c:pt>
                <c:pt idx="11">
                  <c:v>0.68618647306474201</c:v>
                </c:pt>
                <c:pt idx="12">
                  <c:v>0.70591769921839553</c:v>
                </c:pt>
                <c:pt idx="13">
                  <c:v>0.72564892537204906</c:v>
                </c:pt>
                <c:pt idx="14">
                  <c:v>0.74538015152570258</c:v>
                </c:pt>
                <c:pt idx="15">
                  <c:v>0.76511137767935611</c:v>
                </c:pt>
                <c:pt idx="16">
                  <c:v>0.78484260383300963</c:v>
                </c:pt>
                <c:pt idx="17">
                  <c:v>0.80457382998666316</c:v>
                </c:pt>
                <c:pt idx="18">
                  <c:v>0.82430505614031691</c:v>
                </c:pt>
                <c:pt idx="19">
                  <c:v>0.84744076044105265</c:v>
                </c:pt>
                <c:pt idx="20">
                  <c:v>0.8705764647417884</c:v>
                </c:pt>
                <c:pt idx="21">
                  <c:v>0.89371216904252415</c:v>
                </c:pt>
                <c:pt idx="22">
                  <c:v>0.9168478733432599</c:v>
                </c:pt>
                <c:pt idx="23">
                  <c:v>0.93998357764399565</c:v>
                </c:pt>
                <c:pt idx="24">
                  <c:v>0.9631192819447314</c:v>
                </c:pt>
                <c:pt idx="25">
                  <c:v>0.98625498624546715</c:v>
                </c:pt>
                <c:pt idx="26">
                  <c:v>1.0093906905462029</c:v>
                </c:pt>
                <c:pt idx="27">
                  <c:v>1.0325263948469388</c:v>
                </c:pt>
                <c:pt idx="28">
                  <c:v>1.0556620991476746</c:v>
                </c:pt>
                <c:pt idx="29">
                  <c:v>1.1651513669786351</c:v>
                </c:pt>
                <c:pt idx="30">
                  <c:v>1.2746406348095956</c:v>
                </c:pt>
                <c:pt idx="31">
                  <c:v>1.2746406348095956</c:v>
                </c:pt>
                <c:pt idx="32">
                  <c:v>1.2746406348095956</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PTRA!$G$181:$M$181</c:f>
              <c:numCache>
                <c:formatCode>0.0%</c:formatCode>
                <c:ptCount val="7"/>
                <c:pt idx="0">
                  <c:v>0.53494763381696575</c:v>
                </c:pt>
                <c:pt idx="1">
                  <c:v>0.53864314807373981</c:v>
                </c:pt>
                <c:pt idx="2">
                  <c:v>0.51981403171606366</c:v>
                </c:pt>
                <c:pt idx="3">
                  <c:v>0.51483627026488898</c:v>
                </c:pt>
                <c:pt idx="4">
                  <c:v>0.56012265539214701</c:v>
                </c:pt>
                <c:pt idx="5">
                  <c:v>0.62039620023993525</c:v>
                </c:pt>
                <c:pt idx="6">
                  <c:v>0.67472292326129912</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PTRA!$G$182:$M$182</c:f>
              <c:numCache>
                <c:formatCode>0.0%</c:formatCode>
                <c:ptCount val="7"/>
                <c:pt idx="0">
                  <c:v>0.46505236618303425</c:v>
                </c:pt>
                <c:pt idx="1">
                  <c:v>0.46135685192626019</c:v>
                </c:pt>
                <c:pt idx="2">
                  <c:v>0.48018596828393634</c:v>
                </c:pt>
                <c:pt idx="3">
                  <c:v>0.48516372973511102</c:v>
                </c:pt>
                <c:pt idx="4">
                  <c:v>0.43987734460785299</c:v>
                </c:pt>
                <c:pt idx="5">
                  <c:v>0.37960379976006475</c:v>
                </c:pt>
                <c:pt idx="6">
                  <c:v>0.32527707673870088</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PTRA!$P$149:$V$149</c:f>
              <c:numCache>
                <c:formatCode>0.0</c:formatCode>
                <c:ptCount val="7"/>
                <c:pt idx="0">
                  <c:v>93.525978660206817</c:v>
                </c:pt>
                <c:pt idx="1">
                  <c:v>97.842472415001637</c:v>
                </c:pt>
                <c:pt idx="2">
                  <c:v>93.746622585597407</c:v>
                </c:pt>
                <c:pt idx="3">
                  <c:v>94.284516099271045</c:v>
                </c:pt>
                <c:pt idx="4">
                  <c:v>120.51309082508857</c:v>
                </c:pt>
                <c:pt idx="5">
                  <c:v>159.42735199452704</c:v>
                </c:pt>
                <c:pt idx="6">
                  <c:v>201.47652123005676</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PTRA!$Y$149:$AE$149</c:f>
              <c:numCache>
                <c:formatCode>0.0</c:formatCode>
                <c:ptCount val="7"/>
                <c:pt idx="0">
                  <c:v>93.525978660206817</c:v>
                </c:pt>
                <c:pt idx="1">
                  <c:v>97.842472415001637</c:v>
                </c:pt>
                <c:pt idx="2">
                  <c:v>93.746622585597407</c:v>
                </c:pt>
                <c:pt idx="3">
                  <c:v>94.284516099271045</c:v>
                </c:pt>
                <c:pt idx="4">
                  <c:v>#N/A</c:v>
                </c:pt>
                <c:pt idx="5">
                  <c:v>#N/A</c:v>
                </c:pt>
                <c:pt idx="6">
                  <c:v>#N/A</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18" Type="http://schemas.openxmlformats.org/officeDocument/2006/relationships/chart" Target="../charts/chart31.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17" Type="http://schemas.openxmlformats.org/officeDocument/2006/relationships/chart" Target="../charts/chart30.xml"/><Relationship Id="rId2" Type="http://schemas.openxmlformats.org/officeDocument/2006/relationships/chart" Target="../charts/chart16.xml"/><Relationship Id="rId16" Type="http://schemas.openxmlformats.org/officeDocument/2006/relationships/image" Target="../media/image19.emf"/><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5" Type="http://schemas.openxmlformats.org/officeDocument/2006/relationships/chart" Target="../charts/chart2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12700</xdr:colOff>
      <xdr:row>2</xdr:row>
      <xdr:rowOff>0</xdr:rowOff>
    </xdr:from>
    <xdr:ext cx="815975" cy="238125"/>
    <xdr:sp macro="" textlink="">
      <xdr:nvSpPr>
        <xdr:cNvPr id="2"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7272036A-846A-4C3B-9948-794F86B61682}"/>
            </a:ext>
          </a:extLst>
        </xdr:cNvPr>
        <xdr:cNvSpPr/>
      </xdr:nvSpPr>
      <xdr:spPr>
        <a:xfrm>
          <a:off x="12700" y="381000"/>
          <a:ext cx="815975" cy="238125"/>
        </a:xfrm>
        <a:prstGeom prst="rect">
          <a:avLst/>
        </a:prstGeom>
      </xdr:spPr>
    </xdr:sp>
    <xdr:clientData/>
  </xdr:oneCellAnchor>
  <xdr:oneCellAnchor>
    <xdr:from>
      <xdr:col>1</xdr:col>
      <xdr:colOff>12700</xdr:colOff>
      <xdr:row>3</xdr:row>
      <xdr:rowOff>0</xdr:rowOff>
    </xdr:from>
    <xdr:ext cx="723900" cy="257175"/>
    <xdr:sp macro="" textlink="">
      <xdr:nvSpPr>
        <xdr:cNvPr id="3"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AA606C91-3399-45F0-8C3D-66B4486FD9EE}"/>
            </a:ext>
          </a:extLst>
        </xdr:cNvPr>
        <xdr:cNvSpPr/>
      </xdr:nvSpPr>
      <xdr:spPr>
        <a:xfrm>
          <a:off x="622300" y="571500"/>
          <a:ext cx="723900" cy="257175"/>
        </a:xfrm>
        <a:prstGeom prst="rect">
          <a:avLst/>
        </a:prstGeom>
      </xdr:spPr>
    </xdr:sp>
    <xdr:clientData/>
  </xdr:oneCellAnchor>
  <xdr:oneCellAnchor>
    <xdr:from>
      <xdr:col>4</xdr:col>
      <xdr:colOff>12700</xdr:colOff>
      <xdr:row>3</xdr:row>
      <xdr:rowOff>0</xdr:rowOff>
    </xdr:from>
    <xdr:ext cx="663575" cy="257175"/>
    <xdr:sp macro="" textlink="">
      <xdr:nvSpPr>
        <xdr:cNvPr id="4" name="cmdSpecifyUnits" hidden="1">
          <a:extLst>
            <a:ext uri="{63B3BB69-23CF-44E3-9099-C40C66FF867C}">
              <a14:compatExt xmlns:a14="http://schemas.microsoft.com/office/drawing/2010/main" spid="_x0000_s14339"/>
            </a:ext>
            <a:ext uri="{FF2B5EF4-FFF2-40B4-BE49-F238E27FC236}">
              <a16:creationId xmlns:a16="http://schemas.microsoft.com/office/drawing/2014/main" id="{8705E5CF-41D9-4A5C-99DD-09590C17AC92}"/>
            </a:ext>
          </a:extLst>
        </xdr:cNvPr>
        <xdr:cNvSpPr/>
      </xdr:nvSpPr>
      <xdr:spPr>
        <a:xfrm>
          <a:off x="2451100" y="571500"/>
          <a:ext cx="663575" cy="257175"/>
        </a:xfrm>
        <a:prstGeom prst="rect">
          <a:avLst/>
        </a:prstGeom>
      </xdr:spPr>
    </xdr:sp>
    <xdr:clientData/>
  </xdr:oneCellAnchor>
  <xdr:oneCellAnchor>
    <xdr:from>
      <xdr:col>5</xdr:col>
      <xdr:colOff>12700</xdr:colOff>
      <xdr:row>3</xdr:row>
      <xdr:rowOff>0</xdr:rowOff>
    </xdr:from>
    <xdr:ext cx="1905000" cy="257175"/>
    <xdr:sp macro="" textlink="">
      <xdr:nvSpPr>
        <xdr:cNvPr id="5" name="cmdSpecifySets" hidden="1">
          <a:extLst>
            <a:ext uri="{63B3BB69-23CF-44E3-9099-C40C66FF867C}">
              <a14:compatExt xmlns:a14="http://schemas.microsoft.com/office/drawing/2010/main" spid="_x0000_s14340"/>
            </a:ext>
            <a:ext uri="{FF2B5EF4-FFF2-40B4-BE49-F238E27FC236}">
              <a16:creationId xmlns:a16="http://schemas.microsoft.com/office/drawing/2014/main" id="{6554E129-9869-4E0F-A8D0-AE972D8FB6EF}"/>
            </a:ext>
          </a:extLst>
        </xdr:cNvPr>
        <xdr:cNvSpPr/>
      </xdr:nvSpPr>
      <xdr:spPr>
        <a:xfrm>
          <a:off x="3060700" y="571500"/>
          <a:ext cx="1905000" cy="257175"/>
        </a:xfrm>
        <a:prstGeom prst="rect">
          <a:avLst/>
        </a:prstGeom>
      </xdr:spPr>
    </xdr:sp>
    <xdr:clientData/>
  </xdr:oneCellAnchor>
  <xdr:oneCellAnchor>
    <xdr:from>
      <xdr:col>0</xdr:col>
      <xdr:colOff>12700</xdr:colOff>
      <xdr:row>2</xdr:row>
      <xdr:rowOff>0</xdr:rowOff>
    </xdr:from>
    <xdr:ext cx="815975" cy="238125"/>
    <xdr:pic>
      <xdr:nvPicPr>
        <xdr:cNvPr id="6" name="cmdCheckItemsSheet">
          <a:extLst>
            <a:ext uri="{FF2B5EF4-FFF2-40B4-BE49-F238E27FC236}">
              <a16:creationId xmlns:a16="http://schemas.microsoft.com/office/drawing/2014/main" id="{DE22A8CF-9EC4-40CF-99A4-43A70E7A7E8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381000"/>
          <a:ext cx="815975" cy="23812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1</xdr:col>
      <xdr:colOff>12700</xdr:colOff>
      <xdr:row>3</xdr:row>
      <xdr:rowOff>0</xdr:rowOff>
    </xdr:from>
    <xdr:ext cx="723900" cy="257175"/>
    <xdr:pic>
      <xdr:nvPicPr>
        <xdr:cNvPr id="7" name="cmdSpecifyComponent">
          <a:extLst>
            <a:ext uri="{FF2B5EF4-FFF2-40B4-BE49-F238E27FC236}">
              <a16:creationId xmlns:a16="http://schemas.microsoft.com/office/drawing/2014/main" id="{1D6FAC2F-5993-4FEB-B10E-79BF807AEA9E}"/>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2300" y="571500"/>
          <a:ext cx="7239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4</xdr:col>
      <xdr:colOff>12700</xdr:colOff>
      <xdr:row>3</xdr:row>
      <xdr:rowOff>0</xdr:rowOff>
    </xdr:from>
    <xdr:ext cx="663575" cy="257175"/>
    <xdr:pic>
      <xdr:nvPicPr>
        <xdr:cNvPr id="8" name="cmdSpecifyUnits">
          <a:extLst>
            <a:ext uri="{FF2B5EF4-FFF2-40B4-BE49-F238E27FC236}">
              <a16:creationId xmlns:a16="http://schemas.microsoft.com/office/drawing/2014/main" id="{513C924D-D4AA-43F9-BF58-7AF3F42EF8A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51100" y="571500"/>
          <a:ext cx="663575"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5</xdr:col>
      <xdr:colOff>12700</xdr:colOff>
      <xdr:row>3</xdr:row>
      <xdr:rowOff>0</xdr:rowOff>
    </xdr:from>
    <xdr:ext cx="1905000" cy="257175"/>
    <xdr:pic>
      <xdr:nvPicPr>
        <xdr:cNvPr id="9" name="cmdSpecifySets">
          <a:extLst>
            <a:ext uri="{FF2B5EF4-FFF2-40B4-BE49-F238E27FC236}">
              <a16:creationId xmlns:a16="http://schemas.microsoft.com/office/drawing/2014/main" id="{ADCD6B55-BA84-43E5-9C25-D4B9F3192038}"/>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60700" y="571500"/>
          <a:ext cx="19050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3" name="Chart 2">
          <a:extLst>
            <a:ext uri="{FF2B5EF4-FFF2-40B4-BE49-F238E27FC236}">
              <a16:creationId xmlns:a16="http://schemas.microsoft.com/office/drawing/2014/main" id="{FC0A3C38-190A-406D-A564-BAC2510FE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756047</xdr:colOff>
      <xdr:row>96</xdr:row>
      <xdr:rowOff>3572</xdr:rowOff>
    </xdr:from>
    <xdr:to>
      <xdr:col>33</xdr:col>
      <xdr:colOff>232172</xdr:colOff>
      <xdr:row>109</xdr:row>
      <xdr:rowOff>151209</xdr:rowOff>
    </xdr:to>
    <xdr:graphicFrame macro="">
      <xdr:nvGraphicFramePr>
        <xdr:cNvPr id="4" name="Chart 3">
          <a:extLst>
            <a:ext uri="{FF2B5EF4-FFF2-40B4-BE49-F238E27FC236}">
              <a16:creationId xmlns:a16="http://schemas.microsoft.com/office/drawing/2014/main" id="{1B7F8BC8-2326-4E30-936C-12E2FBEA8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756047</xdr:colOff>
      <xdr:row>105</xdr:row>
      <xdr:rowOff>39290</xdr:rowOff>
    </xdr:from>
    <xdr:to>
      <xdr:col>33</xdr:col>
      <xdr:colOff>232172</xdr:colOff>
      <xdr:row>119</xdr:row>
      <xdr:rowOff>115490</xdr:rowOff>
    </xdr:to>
    <xdr:graphicFrame macro="">
      <xdr:nvGraphicFramePr>
        <xdr:cNvPr id="5" name="Chart 4">
          <a:extLst>
            <a:ext uri="{FF2B5EF4-FFF2-40B4-BE49-F238E27FC236}">
              <a16:creationId xmlns:a16="http://schemas.microsoft.com/office/drawing/2014/main" id="{2B93B0BA-108C-4C56-8196-8DE25F394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756047</xdr:colOff>
      <xdr:row>117</xdr:row>
      <xdr:rowOff>39290</xdr:rowOff>
    </xdr:from>
    <xdr:to>
      <xdr:col>33</xdr:col>
      <xdr:colOff>232172</xdr:colOff>
      <xdr:row>131</xdr:row>
      <xdr:rowOff>115490</xdr:rowOff>
    </xdr:to>
    <xdr:graphicFrame macro="">
      <xdr:nvGraphicFramePr>
        <xdr:cNvPr id="6" name="Chart 5">
          <a:extLst>
            <a:ext uri="{FF2B5EF4-FFF2-40B4-BE49-F238E27FC236}">
              <a16:creationId xmlns:a16="http://schemas.microsoft.com/office/drawing/2014/main" id="{F1B5C554-C500-43C9-A530-0872C9BE2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622914</xdr:colOff>
      <xdr:row>39</xdr:row>
      <xdr:rowOff>14394</xdr:rowOff>
    </xdr:from>
    <xdr:to>
      <xdr:col>18</xdr:col>
      <xdr:colOff>9200</xdr:colOff>
      <xdr:row>52</xdr:row>
      <xdr:rowOff>179350</xdr:rowOff>
    </xdr:to>
    <xdr:graphicFrame macro="">
      <xdr:nvGraphicFramePr>
        <xdr:cNvPr id="7" name="Chart 6">
          <a:extLst>
            <a:ext uri="{FF2B5EF4-FFF2-40B4-BE49-F238E27FC236}">
              <a16:creationId xmlns:a16="http://schemas.microsoft.com/office/drawing/2014/main" id="{2256E3B5-359E-411A-B53C-32EE63F03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438149</xdr:colOff>
      <xdr:row>244</xdr:row>
      <xdr:rowOff>66675</xdr:rowOff>
    </xdr:from>
    <xdr:to>
      <xdr:col>45</xdr:col>
      <xdr:colOff>190500</xdr:colOff>
      <xdr:row>255</xdr:row>
      <xdr:rowOff>85725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278130</xdr:colOff>
      <xdr:row>230</xdr:row>
      <xdr:rowOff>114300</xdr:rowOff>
    </xdr:from>
    <xdr:to>
      <xdr:col>35</xdr:col>
      <xdr:colOff>289560</xdr:colOff>
      <xdr:row>265</xdr:row>
      <xdr:rowOff>160020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190</xdr:row>
      <xdr:rowOff>133350</xdr:rowOff>
    </xdr:from>
    <xdr:to>
      <xdr:col>27</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380599</xdr:colOff>
      <xdr:row>85</xdr:row>
      <xdr:rowOff>134690</xdr:rowOff>
    </xdr:from>
    <xdr:to>
      <xdr:col>41</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136</xdr:row>
      <xdr:rowOff>164042</xdr:rowOff>
    </xdr:from>
    <xdr:to>
      <xdr:col>2</xdr:col>
      <xdr:colOff>4726781</xdr:colOff>
      <xdr:row>150</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191</xdr:row>
      <xdr:rowOff>0</xdr:rowOff>
    </xdr:from>
    <xdr:to>
      <xdr:col>41</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374125</xdr:colOff>
      <xdr:row>3</xdr:row>
      <xdr:rowOff>76540</xdr:rowOff>
    </xdr:from>
    <xdr:to>
      <xdr:col>58</xdr:col>
      <xdr:colOff>555393</xdr:colOff>
      <xdr:row>46</xdr:row>
      <xdr:rowOff>13607</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24676482" y="661647"/>
          <a:ext cx="16550661" cy="822381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256</xdr:row>
      <xdr:rowOff>60960</xdr:rowOff>
    </xdr:from>
    <xdr:to>
      <xdr:col>42</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244</xdr:row>
      <xdr:rowOff>55721</xdr:rowOff>
    </xdr:from>
    <xdr:to>
      <xdr:col>37</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207287</xdr:colOff>
      <xdr:row>248</xdr:row>
      <xdr:rowOff>91633</xdr:rowOff>
    </xdr:from>
    <xdr:to>
      <xdr:col>35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243575</xdr:colOff>
      <xdr:row>124</xdr:row>
      <xdr:rowOff>64876</xdr:rowOff>
    </xdr:from>
    <xdr:to>
      <xdr:col>64</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52</xdr:col>
      <xdr:colOff>130968</xdr:colOff>
      <xdr:row>145</xdr:row>
      <xdr:rowOff>190499</xdr:rowOff>
    </xdr:from>
    <xdr:to>
      <xdr:col>63</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331107</xdr:colOff>
      <xdr:row>13</xdr:row>
      <xdr:rowOff>36285</xdr:rowOff>
    </xdr:from>
    <xdr:to>
      <xdr:col>42</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421822</xdr:colOff>
      <xdr:row>13</xdr:row>
      <xdr:rowOff>16329</xdr:rowOff>
    </xdr:from>
    <xdr:to>
      <xdr:col>47</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340178</xdr:colOff>
      <xdr:row>28</xdr:row>
      <xdr:rowOff>116115</xdr:rowOff>
    </xdr:from>
    <xdr:to>
      <xdr:col>42</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37</xdr:col>
      <xdr:colOff>439965</xdr:colOff>
      <xdr:row>28</xdr:row>
      <xdr:rowOff>97972</xdr:rowOff>
    </xdr:from>
    <xdr:to>
      <xdr:col>47</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56748</xdr:colOff>
      <xdr:row>23</xdr:row>
      <xdr:rowOff>47625</xdr:rowOff>
    </xdr:from>
    <xdr:to>
      <xdr:col>43</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340178</xdr:colOff>
      <xdr:row>44</xdr:row>
      <xdr:rowOff>120650</xdr:rowOff>
    </xdr:from>
    <xdr:to>
      <xdr:col>45</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95249</xdr:colOff>
      <xdr:row>70</xdr:row>
      <xdr:rowOff>126699</xdr:rowOff>
    </xdr:from>
    <xdr:to>
      <xdr:col>43</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37</xdr:col>
      <xdr:colOff>237672</xdr:colOff>
      <xdr:row>70</xdr:row>
      <xdr:rowOff>112032</xdr:rowOff>
    </xdr:from>
    <xdr:to>
      <xdr:col>47</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40</xdr:col>
      <xdr:colOff>290286</xdr:colOff>
      <xdr:row>71</xdr:row>
      <xdr:rowOff>142119</xdr:rowOff>
    </xdr:from>
    <xdr:to>
      <xdr:col>48</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231</xdr:row>
      <xdr:rowOff>140493</xdr:rowOff>
    </xdr:from>
    <xdr:to>
      <xdr:col>4</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51</xdr:col>
      <xdr:colOff>595312</xdr:colOff>
      <xdr:row>164</xdr:row>
      <xdr:rowOff>30616</xdr:rowOff>
    </xdr:from>
    <xdr:to>
      <xdr:col>61</xdr:col>
      <xdr:colOff>300941</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562726</xdr:colOff>
      <xdr:row>188</xdr:row>
      <xdr:rowOff>15374</xdr:rowOff>
    </xdr:from>
    <xdr:to>
      <xdr:col>5</xdr:col>
      <xdr:colOff>170893</xdr:colOff>
      <xdr:row>202</xdr:row>
      <xdr:rowOff>68011</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35</xdr:col>
      <xdr:colOff>486834</xdr:colOff>
      <xdr:row>141</xdr:row>
      <xdr:rowOff>184152</xdr:rowOff>
    </xdr:from>
    <xdr:to>
      <xdr:col>44</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refreshError="1"/>
      <sheetData sheetId="1">
        <row r="68">
          <cell r="AG68">
            <v>744.7462524</v>
          </cell>
        </row>
        <row r="69">
          <cell r="AI69">
            <v>35178.032837499988</v>
          </cell>
        </row>
        <row r="70">
          <cell r="AI70">
            <v>42764.908764899999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ow r="27">
          <cell r="AC27">
            <v>2.5009999999999999</v>
          </cell>
        </row>
        <row r="28">
          <cell r="AC28">
            <v>5.0070955734014992</v>
          </cell>
        </row>
        <row r="29">
          <cell r="AC29">
            <v>7.9193584801965402</v>
          </cell>
        </row>
        <row r="30">
          <cell r="AC30">
            <v>10.886935146339562</v>
          </cell>
        </row>
        <row r="31">
          <cell r="AC31">
            <v>19.520776457571557</v>
          </cell>
        </row>
        <row r="32">
          <cell r="AC32">
            <v>17.889918497338776</v>
          </cell>
        </row>
        <row r="33">
          <cell r="AC33">
            <v>18.402975262404723</v>
          </cell>
        </row>
        <row r="34">
          <cell r="AC34">
            <v>21.907017031495844</v>
          </cell>
        </row>
        <row r="35">
          <cell r="AC35">
            <v>1.4841</v>
          </cell>
        </row>
        <row r="36">
          <cell r="AC36">
            <v>0.39784000000000003</v>
          </cell>
        </row>
        <row r="71">
          <cell r="K71">
            <v>25</v>
          </cell>
          <cell r="M71">
            <v>0.25980514219360507</v>
          </cell>
        </row>
        <row r="72">
          <cell r="K72">
            <v>14</v>
          </cell>
          <cell r="M72">
            <v>0.63065970327402632</v>
          </cell>
        </row>
        <row r="73">
          <cell r="M73">
            <v>0.10953515453236866</v>
          </cell>
        </row>
        <row r="77">
          <cell r="M77">
            <v>0.86657939364773595</v>
          </cell>
        </row>
        <row r="78">
          <cell r="M78">
            <v>9.950192141419846E-2</v>
          </cell>
        </row>
        <row r="79">
          <cell r="M79">
            <v>3.3918684938065609E-2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0.44857633535499813</v>
          </cell>
        </row>
        <row r="118">
          <cell r="H118">
            <v>8.0274119837508469</v>
          </cell>
          <cell r="I118">
            <v>13.418073439870216</v>
          </cell>
          <cell r="J118">
            <v>15.663966300310799</v>
          </cell>
          <cell r="K118">
            <v>13.5</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50">
        <row r="10">
          <cell r="D10" t="str">
            <v>TPPRSUV</v>
          </cell>
          <cell r="J10">
            <v>10.045687245472017</v>
          </cell>
        </row>
        <row r="11">
          <cell r="D11" t="str">
            <v>TPPRCAR</v>
          </cell>
          <cell r="J11">
            <v>87.436118489606969</v>
          </cell>
        </row>
        <row r="12">
          <cell r="D12" t="str">
            <v>TPPRMOT</v>
          </cell>
          <cell r="J12">
            <v>4.788655061211033</v>
          </cell>
        </row>
        <row r="13">
          <cell r="D13" t="str">
            <v>TPPUBUS</v>
          </cell>
          <cell r="J13">
            <v>1.4990333520535337</v>
          </cell>
        </row>
        <row r="14">
          <cell r="D14" t="str">
            <v>TPPUMBT</v>
          </cell>
          <cell r="J14">
            <v>6.4978638621089795</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43.11250375056882</v>
          </cell>
        </row>
        <row r="20">
          <cell r="D20" t="str">
            <v>TFHCV1</v>
          </cell>
          <cell r="J20">
            <v>3.310563752317667</v>
          </cell>
        </row>
        <row r="21">
          <cell r="D21" t="str">
            <v>TFHCV2</v>
          </cell>
          <cell r="J21">
            <v>0.6547839540708813</v>
          </cell>
        </row>
        <row r="22">
          <cell r="D22" t="str">
            <v>TFHCV3</v>
          </cell>
          <cell r="J22">
            <v>2.7114063478211388</v>
          </cell>
        </row>
        <row r="23">
          <cell r="D23" t="str">
            <v>TFHCV4</v>
          </cell>
          <cell r="J23">
            <v>0.57023972229676956</v>
          </cell>
        </row>
        <row r="24">
          <cell r="D24" t="str">
            <v>TFHCV5</v>
          </cell>
          <cell r="J24">
            <v>0.27326501935541331</v>
          </cell>
        </row>
        <row r="25">
          <cell r="D25" t="str">
            <v>TFHCV6</v>
          </cell>
          <cell r="J25">
            <v>5.0361375113209643</v>
          </cell>
        </row>
        <row r="26">
          <cell r="D26" t="str">
            <v>TFHCV7</v>
          </cell>
          <cell r="J26">
            <v>1.5653068685251963</v>
          </cell>
        </row>
        <row r="27">
          <cell r="D27" t="str">
            <v>TFHCV8</v>
          </cell>
          <cell r="J27">
            <v>5.8486156921973939E-2</v>
          </cell>
        </row>
        <row r="28">
          <cell r="D28" t="str">
            <v>TFHCV9</v>
          </cell>
          <cell r="J28">
            <v>3.9969372950314989E-2</v>
          </cell>
        </row>
        <row r="29">
          <cell r="D29" t="str">
            <v>TFRCO</v>
          </cell>
          <cell r="J29">
            <v>22</v>
          </cell>
        </row>
        <row r="30">
          <cell r="D30" t="str">
            <v>TFROT</v>
          </cell>
          <cell r="J30">
            <v>25.1</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sheetData>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14.570390350961301</v>
          </cell>
        </row>
        <row r="13">
          <cell r="J13">
            <v>5.0203080915278155</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IS-Items"/>
      <sheetName val="IS-TSData"/>
      <sheetName val="IS-TIDData"/>
      <sheetName val="Iron &amp; Steel"/>
      <sheetName val="FA-Items"/>
      <sheetName val="FA-TSData"/>
      <sheetName val="FA-TIDData"/>
      <sheetName val="FerroAlloys"/>
      <sheetName val="PP-Items"/>
      <sheetName val="PP-TSData"/>
      <sheetName val="PP-TIDData"/>
      <sheetName val="PP-TSData (2)"/>
      <sheetName val="PP update"/>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2017"/>
      <sheetName val="IND"/>
      <sheetName val="PAMS"/>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 val="I&amp;S update to 2012"/>
      <sheetName val="PP update to 2012"/>
      <sheetName val="NMM 2012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24">
          <cell r="J24">
            <v>6.94</v>
          </cell>
          <cell r="K24">
            <v>7.1000000000000005</v>
          </cell>
          <cell r="L24">
            <v>6.5</v>
          </cell>
          <cell r="M24">
            <v>6.4000000000000012</v>
          </cell>
          <cell r="N24">
            <v>6.0910000000000002</v>
          </cell>
          <cell r="O24">
            <v>6.23</v>
          </cell>
          <cell r="P24">
            <v>6.3</v>
          </cell>
          <cell r="Q24">
            <v>6.1267974837582679</v>
          </cell>
          <cell r="R24">
            <v>5.0030232389251985</v>
          </cell>
        </row>
      </sheetData>
      <sheetData sheetId="41"/>
      <sheetData sheetId="42"/>
      <sheetData sheetId="43"/>
      <sheetData sheetId="44">
        <row r="2">
          <cell r="J2">
            <v>4.0820999999999996</v>
          </cell>
          <cell r="K2">
            <v>4.1753999999999998</v>
          </cell>
          <cell r="L2">
            <v>4.8628999999999998</v>
          </cell>
          <cell r="M2">
            <v>4.4805999999999999</v>
          </cell>
          <cell r="N2">
            <v>4.3260612235437241</v>
          </cell>
          <cell r="O2">
            <v>4.372754104082464</v>
          </cell>
        </row>
      </sheetData>
      <sheetData sheetId="45"/>
      <sheetData sheetId="46"/>
      <sheetData sheetId="47"/>
      <sheetData sheetId="48">
        <row r="28">
          <cell r="J28">
            <v>0.73711514499999997</v>
          </cell>
          <cell r="K28">
            <v>0.73711514499999997</v>
          </cell>
          <cell r="L28">
            <v>0.73711514499999997</v>
          </cell>
          <cell r="M28">
            <v>0.73711514499999997</v>
          </cell>
          <cell r="N28">
            <v>0.7</v>
          </cell>
          <cell r="O28">
            <v>0.65910719806663931</v>
          </cell>
        </row>
        <row r="29">
          <cell r="J29">
            <v>2.0533000000000001</v>
          </cell>
          <cell r="K29">
            <v>2.0786519999999999</v>
          </cell>
          <cell r="L29">
            <v>2.1040039999999998</v>
          </cell>
          <cell r="M29">
            <v>2.1293559999999996</v>
          </cell>
          <cell r="N29">
            <v>2.1547079999999994</v>
          </cell>
          <cell r="O29">
            <v>2.1800600000000001</v>
          </cell>
        </row>
      </sheetData>
      <sheetData sheetId="49"/>
      <sheetData sheetId="50"/>
      <sheetData sheetId="51"/>
      <sheetData sheetId="52"/>
      <sheetData sheetId="53"/>
      <sheetData sheetId="54"/>
      <sheetData sheetId="55"/>
      <sheetData sheetId="56"/>
      <sheetData sheetId="57">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58"/>
      <sheetData sheetId="59"/>
      <sheetData sheetId="60"/>
      <sheetData sheetId="61"/>
      <sheetData sheetId="62"/>
      <sheetData sheetId="63"/>
      <sheetData sheetId="64"/>
      <sheetData sheetId="65"/>
      <sheetData sheetId="66"/>
      <sheetData sheetId="67"/>
      <sheetData sheetId="68">
        <row r="10">
          <cell r="A10" t="str">
            <v>Mining</v>
          </cell>
          <cell r="B10" t="str">
            <v>MI</v>
          </cell>
          <cell r="M10">
            <v>1</v>
          </cell>
        </row>
        <row r="11">
          <cell r="A11" t="str">
            <v>Ferro Alloys</v>
          </cell>
          <cell r="B11" t="str">
            <v>FA</v>
          </cell>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69"/>
      <sheetData sheetId="70"/>
      <sheetData sheetId="71">
        <row r="35">
          <cell r="A35" t="str">
            <v>*</v>
          </cell>
          <cell r="B35" t="str">
            <v>E</v>
          </cell>
          <cell r="C35" t="str">
            <v/>
          </cell>
          <cell r="D35" t="str">
            <v/>
          </cell>
          <cell r="E35" t="str">
            <v>PJ</v>
          </cell>
          <cell r="F35" t="str">
            <v>COM,NRG,ANNUAL,FOSSIL</v>
          </cell>
        </row>
        <row r="36">
          <cell r="A36" t="str">
            <v>*</v>
          </cell>
          <cell r="B36" t="str">
            <v>Demand Commodities</v>
          </cell>
          <cell r="C36"/>
          <cell r="D36"/>
          <cell r="E36"/>
          <cell r="F36"/>
        </row>
        <row r="37">
          <cell r="A37" t="str">
            <v/>
          </cell>
          <cell r="B37" t="str">
            <v>E</v>
          </cell>
          <cell r="C37" t="str">
            <v>IMIK</v>
          </cell>
          <cell r="D37" t="str">
            <v>Industry-Mining-Elec Heating - Electricity</v>
          </cell>
          <cell r="E37" t="str">
            <v>PJ</v>
          </cell>
          <cell r="F37" t="str">
            <v>COM,DEM,ANNUAL,RES</v>
          </cell>
        </row>
        <row r="38">
          <cell r="A38" t="str">
            <v/>
          </cell>
          <cell r="B38" t="str">
            <v>E</v>
          </cell>
          <cell r="C38" t="str">
            <v>IMIA</v>
          </cell>
          <cell r="D38" t="str">
            <v>Industry-Mining-Compressed air - Electricity</v>
          </cell>
          <cell r="E38" t="str">
            <v>PJ</v>
          </cell>
          <cell r="F38" t="str">
            <v>COM,DEM,ANNUAL,RES</v>
          </cell>
        </row>
        <row r="39">
          <cell r="A39" t="str">
            <v/>
          </cell>
          <cell r="B39" t="str">
            <v>E</v>
          </cell>
          <cell r="C39" t="str">
            <v>IMIL</v>
          </cell>
          <cell r="D39" t="str">
            <v>Industry-Mining-Lighting - Electricity</v>
          </cell>
          <cell r="E39" t="str">
            <v>PJ</v>
          </cell>
          <cell r="F39" t="str">
            <v>COM,DEM,ANNUAL,RES</v>
          </cell>
        </row>
        <row r="40">
          <cell r="A40" t="str">
            <v/>
          </cell>
          <cell r="B40" t="str">
            <v>E</v>
          </cell>
          <cell r="C40" t="str">
            <v>IMIC</v>
          </cell>
          <cell r="D40" t="str">
            <v>Industry-Mining-Cooling - Electricity</v>
          </cell>
          <cell r="E40" t="str">
            <v>PJ</v>
          </cell>
          <cell r="F40" t="str">
            <v>COM,DEM,ANNUAL,RES</v>
          </cell>
        </row>
        <row r="41">
          <cell r="A41" t="str">
            <v/>
          </cell>
          <cell r="B41" t="str">
            <v>E</v>
          </cell>
          <cell r="C41" t="str">
            <v>IMIH</v>
          </cell>
          <cell r="D41" t="str">
            <v>Industry-Mining-HVAC - Electricity</v>
          </cell>
          <cell r="E41" t="str">
            <v>PJ</v>
          </cell>
          <cell r="F41" t="str">
            <v>COM,DEM,ANNUAL,RES</v>
          </cell>
        </row>
        <row r="42">
          <cell r="A42" t="str">
            <v/>
          </cell>
          <cell r="B42" t="str">
            <v>E</v>
          </cell>
          <cell r="C42" t="str">
            <v>IMIP</v>
          </cell>
          <cell r="D42" t="str">
            <v>Industry-Mining-Pumping - Electricity</v>
          </cell>
          <cell r="E42" t="str">
            <v>PJ</v>
          </cell>
          <cell r="F42" t="str">
            <v>COM,DEM,ANNUAL,RES</v>
          </cell>
        </row>
        <row r="43">
          <cell r="A43" t="str">
            <v/>
          </cell>
          <cell r="B43" t="str">
            <v>E</v>
          </cell>
          <cell r="C43" t="str">
            <v>IMIF</v>
          </cell>
          <cell r="D43" t="str">
            <v>Industry-Mining-Fans - Electricity</v>
          </cell>
          <cell r="E43" t="str">
            <v>PJ</v>
          </cell>
          <cell r="F43" t="str">
            <v>COM,DEM,ANNUAL,RES</v>
          </cell>
        </row>
        <row r="44">
          <cell r="A44" t="str">
            <v/>
          </cell>
          <cell r="B44" t="str">
            <v>E</v>
          </cell>
          <cell r="C44" t="str">
            <v>IMIO</v>
          </cell>
          <cell r="D44" t="str">
            <v>Industry-Mining-Other motive - Electricity</v>
          </cell>
          <cell r="E44" t="str">
            <v>PJ</v>
          </cell>
          <cell r="F44" t="str">
            <v>COM,DEM,ANNUAL,RES</v>
          </cell>
        </row>
        <row r="45">
          <cell r="A45" t="str">
            <v/>
          </cell>
          <cell r="B45" t="str">
            <v>E</v>
          </cell>
          <cell r="C45" t="str">
            <v>IMIE</v>
          </cell>
          <cell r="D45" t="str">
            <v>Industry-Mining-Electrochemical - Electricity</v>
          </cell>
          <cell r="E45" t="str">
            <v>PJ</v>
          </cell>
          <cell r="F45" t="str">
            <v>COM,DEM,ANNUAL,RES</v>
          </cell>
        </row>
        <row r="46">
          <cell r="A46" t="str">
            <v>*</v>
          </cell>
          <cell r="B46" t="str">
            <v>E</v>
          </cell>
          <cell r="C46">
            <v>0</v>
          </cell>
          <cell r="D46" t="str">
            <v/>
          </cell>
          <cell r="E46" t="str">
            <v>PJ</v>
          </cell>
          <cell r="F46" t="str">
            <v>COM,DEM,ANNUAL,RES</v>
          </cell>
        </row>
        <row r="47">
          <cell r="A47" t="str">
            <v/>
          </cell>
          <cell r="B47" t="str">
            <v>E</v>
          </cell>
          <cell r="C47" t="str">
            <v>IMIS</v>
          </cell>
          <cell r="D47" t="str">
            <v>Industry-Mining-boiler/process heating - Coal - Existing</v>
          </cell>
          <cell r="E47" t="str">
            <v>PJ</v>
          </cell>
          <cell r="F47" t="str">
            <v>COM,DEM,ANNUAL,RES</v>
          </cell>
        </row>
        <row r="48">
          <cell r="A48" t="str">
            <v/>
          </cell>
          <cell r="B48" t="str">
            <v>E</v>
          </cell>
          <cell r="C48" t="str">
            <v>IMIS</v>
          </cell>
          <cell r="D48" t="str">
            <v>Industry-Mining-boiler/process heating - Gas - Existing</v>
          </cell>
          <cell r="E48" t="str">
            <v>PJ</v>
          </cell>
          <cell r="F48" t="str">
            <v>COM,DEM,ANNUAL,RES</v>
          </cell>
        </row>
        <row r="49">
          <cell r="A49" t="str">
            <v/>
          </cell>
          <cell r="B49" t="str">
            <v>E</v>
          </cell>
          <cell r="C49" t="str">
            <v>IMIS</v>
          </cell>
          <cell r="D49" t="str">
            <v>Industry-Mining-boiler/process heating - Oil HFO - Existing</v>
          </cell>
          <cell r="E49" t="str">
            <v>PJ</v>
          </cell>
          <cell r="F49" t="str">
            <v>COM,DEM,ANNUAL,RES</v>
          </cell>
        </row>
        <row r="50">
          <cell r="A50" t="str">
            <v/>
          </cell>
          <cell r="B50" t="str">
            <v>E</v>
          </cell>
          <cell r="C50" t="str">
            <v>IMIS</v>
          </cell>
          <cell r="D50" t="str">
            <v>Industry-Mining-boiler/process heating - Oil LPG - Existing</v>
          </cell>
          <cell r="E50" t="str">
            <v>PJ</v>
          </cell>
          <cell r="F50" t="str">
            <v>COM,DEM,ANNUAL,RES</v>
          </cell>
        </row>
        <row r="51">
          <cell r="A51" t="str">
            <v/>
          </cell>
          <cell r="B51" t="str">
            <v>E</v>
          </cell>
          <cell r="C51" t="str">
            <v>IMIS</v>
          </cell>
          <cell r="D51" t="str">
            <v>Industry-Mining-boiler/process heating - Electricity - Existing</v>
          </cell>
          <cell r="E51" t="str">
            <v>PJ</v>
          </cell>
          <cell r="F51" t="str">
            <v>COM,DEM,ANNUAL,RES</v>
          </cell>
        </row>
        <row r="52">
          <cell r="A52" t="str">
            <v/>
          </cell>
          <cell r="B52" t="str">
            <v>E</v>
          </cell>
          <cell r="C52" t="str">
            <v>IMIS</v>
          </cell>
          <cell r="D52" t="str">
            <v>Industry-Mining-boiler/process heating - Waste - Existing</v>
          </cell>
          <cell r="E52" t="str">
            <v>PJ</v>
          </cell>
          <cell r="F52" t="str">
            <v>COM,DEM,ANNUAL,RES</v>
          </cell>
        </row>
        <row r="53">
          <cell r="A53" t="str">
            <v>*</v>
          </cell>
          <cell r="B53" t="str">
            <v>E</v>
          </cell>
          <cell r="C53">
            <v>0</v>
          </cell>
          <cell r="D53" t="str">
            <v/>
          </cell>
          <cell r="E53" t="str">
            <v>PJ</v>
          </cell>
          <cell r="F53" t="str">
            <v>COM,DEM,ANNUAL,RES</v>
          </cell>
        </row>
        <row r="54">
          <cell r="A54" t="str">
            <v/>
          </cell>
          <cell r="B54" t="str">
            <v>E</v>
          </cell>
          <cell r="C54" t="str">
            <v>IMIR</v>
          </cell>
          <cell r="D54" t="str">
            <v>Industry-Mining-Transport - Oil Diesel - Existing</v>
          </cell>
          <cell r="E54" t="str">
            <v>PJ</v>
          </cell>
          <cell r="F54" t="str">
            <v>COM,DEM,ANNUAL,RES</v>
          </cell>
        </row>
        <row r="55">
          <cell r="A55" t="str">
            <v>*</v>
          </cell>
          <cell r="B55" t="str">
            <v>E</v>
          </cell>
          <cell r="C55" t="str">
            <v>Useful Energy Service</v>
          </cell>
          <cell r="D55" t="str">
            <v/>
          </cell>
          <cell r="E55" t="str">
            <v>PJ</v>
          </cell>
          <cell r="F55" t="str">
            <v>COM,DEM,ANNUAL,RES</v>
          </cell>
        </row>
        <row r="56">
          <cell r="A56" t="str">
            <v>*</v>
          </cell>
          <cell r="B56" t="str">
            <v>E</v>
          </cell>
          <cell r="C56">
            <v>0</v>
          </cell>
          <cell r="D56" t="str">
            <v/>
          </cell>
          <cell r="E56" t="str">
            <v>PJ</v>
          </cell>
          <cell r="F56" t="str">
            <v>COM,DEM,ANNUAL,RES</v>
          </cell>
        </row>
        <row r="57">
          <cell r="A57" t="str">
            <v>*</v>
          </cell>
          <cell r="B57" t="str">
            <v>E</v>
          </cell>
          <cell r="C57">
            <v>2</v>
          </cell>
          <cell r="D57" t="str">
            <v/>
          </cell>
          <cell r="E57" t="str">
            <v>PJ</v>
          </cell>
          <cell r="F57" t="str">
            <v>COM,DEM,ANNUAL,RES</v>
          </cell>
        </row>
        <row r="58">
          <cell r="A58" t="str">
            <v>*</v>
          </cell>
          <cell r="B58" t="str">
            <v>E</v>
          </cell>
          <cell r="C58" t="str">
            <v>IFAK</v>
          </cell>
          <cell r="D58" t="str">
            <v/>
          </cell>
          <cell r="E58" t="str">
            <v>PJ</v>
          </cell>
          <cell r="F58" t="str">
            <v>COM,DEM,ANNUAL,RES</v>
          </cell>
        </row>
        <row r="59">
          <cell r="A59" t="str">
            <v>*</v>
          </cell>
          <cell r="B59" t="str">
            <v>E</v>
          </cell>
          <cell r="C59" t="str">
            <v>IFAA</v>
          </cell>
          <cell r="D59" t="str">
            <v/>
          </cell>
          <cell r="E59" t="str">
            <v>PJ</v>
          </cell>
          <cell r="F59" t="str">
            <v>COM,DEM,ANNUAL,RES</v>
          </cell>
        </row>
        <row r="60">
          <cell r="A60" t="str">
            <v>*</v>
          </cell>
          <cell r="B60" t="str">
            <v>E</v>
          </cell>
          <cell r="C60" t="str">
            <v>IFAL</v>
          </cell>
          <cell r="D60" t="str">
            <v/>
          </cell>
          <cell r="E60" t="str">
            <v>PJ</v>
          </cell>
          <cell r="F60" t="str">
            <v>COM,DEM,ANNUAL,RES</v>
          </cell>
        </row>
        <row r="61">
          <cell r="A61" t="str">
            <v>*</v>
          </cell>
          <cell r="B61" t="str">
            <v>E</v>
          </cell>
          <cell r="C61" t="str">
            <v>IFAC</v>
          </cell>
          <cell r="D61" t="str">
            <v/>
          </cell>
          <cell r="E61" t="str">
            <v>PJ</v>
          </cell>
          <cell r="F61" t="str">
            <v>COM,DEM,ANNUAL,RES</v>
          </cell>
        </row>
        <row r="62">
          <cell r="A62" t="str">
            <v>*</v>
          </cell>
          <cell r="B62" t="str">
            <v>E</v>
          </cell>
          <cell r="C62" t="str">
            <v>IFAH</v>
          </cell>
          <cell r="D62" t="str">
            <v/>
          </cell>
          <cell r="E62" t="str">
            <v>PJ</v>
          </cell>
          <cell r="F62" t="str">
            <v>COM,DEM,ANNUAL,RES</v>
          </cell>
        </row>
        <row r="63">
          <cell r="A63" t="str">
            <v>*</v>
          </cell>
          <cell r="B63" t="str">
            <v>E</v>
          </cell>
          <cell r="C63" t="str">
            <v>IFAP</v>
          </cell>
          <cell r="D63" t="str">
            <v/>
          </cell>
          <cell r="E63" t="str">
            <v>PJ</v>
          </cell>
          <cell r="F63" t="str">
            <v>COM,DEM,ANNUAL,RES</v>
          </cell>
        </row>
        <row r="64">
          <cell r="A64" t="str">
            <v>*</v>
          </cell>
          <cell r="B64" t="str">
            <v>E</v>
          </cell>
          <cell r="C64" t="str">
            <v>IFAF</v>
          </cell>
          <cell r="D64" t="str">
            <v/>
          </cell>
          <cell r="E64" t="str">
            <v>PJ</v>
          </cell>
          <cell r="F64" t="str">
            <v>COM,DEM,ANNUAL,RES</v>
          </cell>
        </row>
        <row r="65">
          <cell r="A65" t="str">
            <v>*</v>
          </cell>
          <cell r="B65" t="str">
            <v>E</v>
          </cell>
          <cell r="C65" t="str">
            <v>IFAO</v>
          </cell>
          <cell r="D65" t="str">
            <v/>
          </cell>
          <cell r="E65" t="str">
            <v>PJ</v>
          </cell>
          <cell r="F65" t="str">
            <v>COM,DEM,ANNUAL,RES</v>
          </cell>
        </row>
        <row r="66">
          <cell r="A66" t="str">
            <v>*</v>
          </cell>
          <cell r="B66" t="str">
            <v>E</v>
          </cell>
          <cell r="C66" t="str">
            <v>IFAE</v>
          </cell>
          <cell r="D66" t="str">
            <v/>
          </cell>
          <cell r="E66" t="str">
            <v>PJ</v>
          </cell>
          <cell r="F66" t="str">
            <v>COM,DEM,ANNUAL,RES</v>
          </cell>
        </row>
        <row r="67">
          <cell r="A67" t="str">
            <v>*</v>
          </cell>
          <cell r="B67" t="str">
            <v>E</v>
          </cell>
          <cell r="C67">
            <v>0</v>
          </cell>
          <cell r="D67" t="str">
            <v/>
          </cell>
          <cell r="E67" t="str">
            <v>PJ</v>
          </cell>
          <cell r="F67" t="str">
            <v>COM,DEM,ANNUAL,RES</v>
          </cell>
        </row>
        <row r="68">
          <cell r="A68" t="str">
            <v>*</v>
          </cell>
          <cell r="B68" t="str">
            <v>E</v>
          </cell>
          <cell r="C68" t="str">
            <v>IFAS</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v>0</v>
          </cell>
          <cell r="D74" t="str">
            <v/>
          </cell>
          <cell r="E74" t="str">
            <v>PJ</v>
          </cell>
          <cell r="F74" t="str">
            <v>COM,DEM,ANNUAL,RES</v>
          </cell>
        </row>
        <row r="75">
          <cell r="A75" t="str">
            <v>*</v>
          </cell>
          <cell r="B75" t="str">
            <v>E</v>
          </cell>
          <cell r="C75" t="str">
            <v>IFAR</v>
          </cell>
          <cell r="D75" t="str">
            <v/>
          </cell>
          <cell r="E75" t="str">
            <v>PJ</v>
          </cell>
          <cell r="F75" t="str">
            <v>COM,DEM,ANNUAL,RES</v>
          </cell>
        </row>
        <row r="76">
          <cell r="A76" t="str">
            <v>*</v>
          </cell>
          <cell r="B76" t="str">
            <v>E</v>
          </cell>
          <cell r="C76" t="str">
            <v>Useful Energy Service</v>
          </cell>
          <cell r="D76" t="str">
            <v/>
          </cell>
          <cell r="E76" t="str">
            <v>PJ</v>
          </cell>
          <cell r="F76" t="str">
            <v>COM,DEM,ANNUAL,RES</v>
          </cell>
        </row>
        <row r="77">
          <cell r="A77" t="str">
            <v>*</v>
          </cell>
          <cell r="B77" t="str">
            <v>E</v>
          </cell>
          <cell r="C77">
            <v>0</v>
          </cell>
          <cell r="D77" t="str">
            <v/>
          </cell>
          <cell r="E77" t="str">
            <v>PJ</v>
          </cell>
          <cell r="F77" t="str">
            <v>COM,DEM,ANNUAL,RES</v>
          </cell>
        </row>
        <row r="78">
          <cell r="A78" t="str">
            <v>*</v>
          </cell>
          <cell r="B78" t="str">
            <v>E</v>
          </cell>
          <cell r="C78">
            <v>2</v>
          </cell>
          <cell r="D78" t="str">
            <v/>
          </cell>
          <cell r="E78" t="str">
            <v>PJ</v>
          </cell>
          <cell r="F78" t="str">
            <v>COM,DEM,ANNUAL,RES</v>
          </cell>
        </row>
        <row r="79">
          <cell r="A79" t="str">
            <v>*</v>
          </cell>
          <cell r="B79" t="str">
            <v>E</v>
          </cell>
          <cell r="C79" t="str">
            <v>IISK</v>
          </cell>
          <cell r="D79" t="str">
            <v/>
          </cell>
          <cell r="E79" t="str">
            <v>PJ</v>
          </cell>
          <cell r="F79" t="str">
            <v>COM,DEM,ANNUAL,RES</v>
          </cell>
        </row>
        <row r="80">
          <cell r="A80" t="str">
            <v>*</v>
          </cell>
          <cell r="B80" t="str">
            <v>E</v>
          </cell>
          <cell r="C80" t="str">
            <v>IISA</v>
          </cell>
          <cell r="D80" t="str">
            <v/>
          </cell>
          <cell r="E80" t="str">
            <v>PJ</v>
          </cell>
          <cell r="F80" t="str">
            <v>COM,DEM,ANNUAL,RES</v>
          </cell>
        </row>
        <row r="81">
          <cell r="A81" t="str">
            <v>*</v>
          </cell>
          <cell r="B81" t="str">
            <v>E</v>
          </cell>
          <cell r="C81" t="str">
            <v>IISL</v>
          </cell>
          <cell r="D81" t="str">
            <v/>
          </cell>
          <cell r="E81" t="str">
            <v>PJ</v>
          </cell>
          <cell r="F81" t="str">
            <v>COM,DEM,ANNUAL,RES</v>
          </cell>
        </row>
        <row r="82">
          <cell r="A82" t="str">
            <v>*</v>
          </cell>
          <cell r="B82" t="str">
            <v>E</v>
          </cell>
          <cell r="C82" t="str">
            <v>IISC</v>
          </cell>
          <cell r="D82" t="str">
            <v/>
          </cell>
          <cell r="E82" t="str">
            <v>PJ</v>
          </cell>
          <cell r="F82" t="str">
            <v>COM,DEM,ANNUAL,RES</v>
          </cell>
        </row>
        <row r="83">
          <cell r="A83" t="str">
            <v>*</v>
          </cell>
          <cell r="B83" t="str">
            <v>E</v>
          </cell>
          <cell r="C83" t="str">
            <v>IISH</v>
          </cell>
          <cell r="D83" t="str">
            <v/>
          </cell>
          <cell r="E83" t="str">
            <v>PJ</v>
          </cell>
          <cell r="F83" t="str">
            <v>COM,DEM,ANNUAL,RES</v>
          </cell>
        </row>
        <row r="84">
          <cell r="A84" t="str">
            <v>*</v>
          </cell>
          <cell r="B84" t="str">
            <v>E</v>
          </cell>
          <cell r="C84" t="str">
            <v>IISP</v>
          </cell>
          <cell r="D84" t="str">
            <v/>
          </cell>
          <cell r="E84" t="str">
            <v>PJ</v>
          </cell>
          <cell r="F84" t="str">
            <v>COM,DEM,ANNUAL,RES</v>
          </cell>
        </row>
        <row r="85">
          <cell r="A85" t="str">
            <v>*</v>
          </cell>
          <cell r="B85" t="str">
            <v>E</v>
          </cell>
          <cell r="C85" t="str">
            <v>IISF</v>
          </cell>
          <cell r="D85" t="str">
            <v/>
          </cell>
          <cell r="E85" t="str">
            <v>PJ</v>
          </cell>
          <cell r="F85" t="str">
            <v>COM,DEM,ANNUAL,RES</v>
          </cell>
        </row>
        <row r="86">
          <cell r="A86" t="str">
            <v>*</v>
          </cell>
          <cell r="B86" t="str">
            <v>E</v>
          </cell>
          <cell r="C86" t="str">
            <v>IISO</v>
          </cell>
          <cell r="D86" t="str">
            <v/>
          </cell>
          <cell r="E86" t="str">
            <v>PJ</v>
          </cell>
          <cell r="F86" t="str">
            <v>COM,DEM,ANNUAL,RES</v>
          </cell>
        </row>
        <row r="87">
          <cell r="A87" t="str">
            <v>*</v>
          </cell>
          <cell r="B87" t="str">
            <v>E</v>
          </cell>
          <cell r="C87" t="str">
            <v>IISE</v>
          </cell>
          <cell r="D87" t="str">
            <v/>
          </cell>
          <cell r="E87" t="str">
            <v>PJ</v>
          </cell>
          <cell r="F87" t="str">
            <v>COM,DEM,ANNUAL,RES</v>
          </cell>
        </row>
        <row r="88">
          <cell r="A88" t="str">
            <v>*</v>
          </cell>
          <cell r="B88" t="str">
            <v>E</v>
          </cell>
          <cell r="C88" t="str">
            <v xml:space="preserve"> </v>
          </cell>
          <cell r="D88" t="str">
            <v/>
          </cell>
          <cell r="E88" t="str">
            <v>PJ</v>
          </cell>
          <cell r="F88" t="str">
            <v>COM,DEM,ANNUAL,RES</v>
          </cell>
        </row>
        <row r="89">
          <cell r="A89" t="str">
            <v>*</v>
          </cell>
          <cell r="B89" t="str">
            <v>E</v>
          </cell>
          <cell r="C89" t="str">
            <v>IISS</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v>0</v>
          </cell>
          <cell r="D95" t="str">
            <v/>
          </cell>
          <cell r="E95" t="str">
            <v>PJ</v>
          </cell>
          <cell r="F95" t="str">
            <v>COM,DEM,ANNUAL,RES</v>
          </cell>
        </row>
        <row r="96">
          <cell r="A96" t="str">
            <v>*</v>
          </cell>
          <cell r="B96" t="str">
            <v>E</v>
          </cell>
          <cell r="C96" t="str">
            <v>IIST</v>
          </cell>
          <cell r="D96" t="str">
            <v/>
          </cell>
          <cell r="E96" t="str">
            <v>PJ</v>
          </cell>
          <cell r="F96" t="str">
            <v>COM,DEM,ANNUAL,RES</v>
          </cell>
        </row>
        <row r="97">
          <cell r="A97" t="str">
            <v>*</v>
          </cell>
          <cell r="B97" t="str">
            <v>E</v>
          </cell>
          <cell r="C97" t="str">
            <v>Useful Energy Service</v>
          </cell>
          <cell r="D97" t="str">
            <v/>
          </cell>
          <cell r="E97" t="str">
            <v>PJ</v>
          </cell>
          <cell r="F97" t="str">
            <v>COM,DEM,ANNUAL,RES</v>
          </cell>
        </row>
        <row r="98">
          <cell r="A98" t="str">
            <v>*</v>
          </cell>
          <cell r="B98" t="str">
            <v>E</v>
          </cell>
          <cell r="C98">
            <v>0</v>
          </cell>
          <cell r="D98" t="str">
            <v/>
          </cell>
          <cell r="E98" t="str">
            <v>PJ</v>
          </cell>
          <cell r="F98" t="str">
            <v>COM,DEM,ANNUAL,RES</v>
          </cell>
        </row>
        <row r="99">
          <cell r="A99" t="str">
            <v>*</v>
          </cell>
          <cell r="B99" t="str">
            <v>E</v>
          </cell>
          <cell r="C99">
            <v>2</v>
          </cell>
          <cell r="D99" t="str">
            <v/>
          </cell>
          <cell r="E99" t="str">
            <v>PJ</v>
          </cell>
          <cell r="F99" t="str">
            <v>COM,DEM,ANNUAL,RES</v>
          </cell>
        </row>
        <row r="100">
          <cell r="A100" t="str">
            <v/>
          </cell>
          <cell r="B100" t="str">
            <v>E</v>
          </cell>
          <cell r="C100" t="str">
            <v>ICPK</v>
          </cell>
          <cell r="D100" t="str">
            <v>Industry-Chemicals-Elec Heating - Electricity</v>
          </cell>
          <cell r="E100" t="str">
            <v>PJ</v>
          </cell>
          <cell r="F100" t="str">
            <v>COM,DEM,ANNUAL,RES</v>
          </cell>
        </row>
        <row r="101">
          <cell r="A101" t="str">
            <v/>
          </cell>
          <cell r="B101" t="str">
            <v>E</v>
          </cell>
          <cell r="C101" t="str">
            <v>ICPA</v>
          </cell>
          <cell r="D101" t="str">
            <v>Industry-Chemicals-Compressed air - Electricity</v>
          </cell>
          <cell r="E101" t="str">
            <v>PJ</v>
          </cell>
          <cell r="F101" t="str">
            <v>COM,DEM,ANNUAL,RES</v>
          </cell>
        </row>
        <row r="102">
          <cell r="A102" t="str">
            <v/>
          </cell>
          <cell r="B102" t="str">
            <v>E</v>
          </cell>
          <cell r="C102" t="str">
            <v>ICPL</v>
          </cell>
          <cell r="D102" t="str">
            <v>Industry-Chemicals-Lighting - Electricity</v>
          </cell>
          <cell r="E102" t="str">
            <v>PJ</v>
          </cell>
          <cell r="F102" t="str">
            <v>COM,DEM,ANNUAL,RES</v>
          </cell>
        </row>
        <row r="103">
          <cell r="A103" t="str">
            <v/>
          </cell>
          <cell r="B103" t="str">
            <v>E</v>
          </cell>
          <cell r="C103" t="str">
            <v>ICPC</v>
          </cell>
          <cell r="D103" t="str">
            <v>Industry-Chemicals-Cooling - Electricity</v>
          </cell>
          <cell r="E103" t="str">
            <v>PJ</v>
          </cell>
          <cell r="F103" t="str">
            <v>COM,DEM,ANNUAL,RES</v>
          </cell>
        </row>
        <row r="104">
          <cell r="A104" t="str">
            <v/>
          </cell>
          <cell r="B104" t="str">
            <v>E</v>
          </cell>
          <cell r="C104" t="str">
            <v>ICPH</v>
          </cell>
          <cell r="D104" t="str">
            <v>Industry-Chemicals-HVAC - Electricity</v>
          </cell>
          <cell r="E104" t="str">
            <v>PJ</v>
          </cell>
          <cell r="F104" t="str">
            <v>COM,DEM,ANNUAL,RES</v>
          </cell>
        </row>
        <row r="105">
          <cell r="A105" t="str">
            <v/>
          </cell>
          <cell r="B105" t="str">
            <v>E</v>
          </cell>
          <cell r="C105" t="str">
            <v>ICPP</v>
          </cell>
          <cell r="D105" t="str">
            <v>Industry-Chemicals-Pumping - Electricity</v>
          </cell>
          <cell r="E105" t="str">
            <v>PJ</v>
          </cell>
          <cell r="F105" t="str">
            <v>COM,DEM,ANNUAL,RES</v>
          </cell>
        </row>
        <row r="106">
          <cell r="A106" t="str">
            <v/>
          </cell>
          <cell r="B106" t="str">
            <v>E</v>
          </cell>
          <cell r="C106" t="str">
            <v>ICPF</v>
          </cell>
          <cell r="D106" t="str">
            <v>Industry-Chemicals-Fans - Electricity</v>
          </cell>
          <cell r="E106" t="str">
            <v>PJ</v>
          </cell>
          <cell r="F106" t="str">
            <v>COM,DEM,ANNUAL,RES</v>
          </cell>
        </row>
        <row r="107">
          <cell r="A107" t="str">
            <v/>
          </cell>
          <cell r="B107" t="str">
            <v>E</v>
          </cell>
          <cell r="C107" t="str">
            <v>ICPO</v>
          </cell>
          <cell r="D107" t="str">
            <v>Industry-Chemicals-Other motive - Electricity</v>
          </cell>
          <cell r="E107" t="str">
            <v>PJ</v>
          </cell>
          <cell r="F107" t="str">
            <v>COM,DEM,ANNUAL,RES</v>
          </cell>
        </row>
        <row r="108">
          <cell r="A108" t="str">
            <v/>
          </cell>
          <cell r="B108" t="str">
            <v>E</v>
          </cell>
          <cell r="C108" t="str">
            <v>ICPE</v>
          </cell>
          <cell r="D108" t="str">
            <v>Industry-Chemicals-Electrochemical - Electricity</v>
          </cell>
          <cell r="E108" t="str">
            <v>PJ</v>
          </cell>
          <cell r="F108" t="str">
            <v>COM,DEM,ANNUAL,RES</v>
          </cell>
        </row>
        <row r="109">
          <cell r="A109" t="str">
            <v>*</v>
          </cell>
          <cell r="B109" t="str">
            <v>E</v>
          </cell>
          <cell r="C109" t="str">
            <v xml:space="preserve"> </v>
          </cell>
          <cell r="D109" t="str">
            <v/>
          </cell>
          <cell r="E109" t="str">
            <v>PJ</v>
          </cell>
          <cell r="F109" t="str">
            <v>COM,DEM,ANNUAL,RES</v>
          </cell>
        </row>
        <row r="110">
          <cell r="A110" t="str">
            <v/>
          </cell>
          <cell r="B110" t="str">
            <v>E</v>
          </cell>
          <cell r="C110" t="str">
            <v>ICPS</v>
          </cell>
          <cell r="D110" t="str">
            <v>Industry-Chemicals-boiler/process heating - Coal - Existing</v>
          </cell>
          <cell r="E110" t="str">
            <v>PJ</v>
          </cell>
          <cell r="F110" t="str">
            <v>COM,DEM,ANNUAL,RES</v>
          </cell>
        </row>
        <row r="111">
          <cell r="A111" t="str">
            <v/>
          </cell>
          <cell r="B111" t="str">
            <v>E</v>
          </cell>
          <cell r="C111" t="str">
            <v>ICPS</v>
          </cell>
          <cell r="D111" t="str">
            <v>Industry-Chemicals-boiler/process heating - Gas - Existing</v>
          </cell>
          <cell r="E111" t="str">
            <v>PJ</v>
          </cell>
          <cell r="F111" t="str">
            <v>COM,DEM,ANNUAL,RES</v>
          </cell>
        </row>
        <row r="112">
          <cell r="A112" t="str">
            <v/>
          </cell>
          <cell r="B112" t="str">
            <v>E</v>
          </cell>
          <cell r="C112" t="str">
            <v>ICPS</v>
          </cell>
          <cell r="D112" t="str">
            <v>Industry-Chemicals-boiler/process heating - Oil HFO - Existing</v>
          </cell>
          <cell r="E112" t="str">
            <v>PJ</v>
          </cell>
          <cell r="F112" t="str">
            <v>COM,DEM,ANNUAL,RES</v>
          </cell>
        </row>
        <row r="113">
          <cell r="A113" t="str">
            <v/>
          </cell>
          <cell r="B113" t="str">
            <v>E</v>
          </cell>
          <cell r="C113" t="str">
            <v>ICPS</v>
          </cell>
          <cell r="D113" t="str">
            <v>Industry-Chemicals-boiler/process heating - Oil LPG - Existing</v>
          </cell>
          <cell r="E113" t="str">
            <v>PJ</v>
          </cell>
          <cell r="F113" t="str">
            <v>COM,DEM,ANNUAL,RES</v>
          </cell>
        </row>
        <row r="114">
          <cell r="A114" t="str">
            <v/>
          </cell>
          <cell r="B114" t="str">
            <v>E</v>
          </cell>
          <cell r="C114" t="str">
            <v>ICPS</v>
          </cell>
          <cell r="D114" t="str">
            <v>Industry-Chemicals-boiler/process heating - Electricity - Existing</v>
          </cell>
          <cell r="E114" t="str">
            <v>PJ</v>
          </cell>
          <cell r="F114" t="str">
            <v>COM,DEM,ANNUAL,RES</v>
          </cell>
        </row>
        <row r="115">
          <cell r="A115" t="str">
            <v/>
          </cell>
          <cell r="B115" t="str">
            <v>E</v>
          </cell>
          <cell r="C115" t="str">
            <v>ICPS</v>
          </cell>
          <cell r="D115" t="str">
            <v>Industry-Chemicals-boiler/process heating - Waste - Existing</v>
          </cell>
          <cell r="E115" t="str">
            <v>PJ</v>
          </cell>
          <cell r="F115" t="str">
            <v>COM,DEM,ANNUAL,RES</v>
          </cell>
        </row>
        <row r="116">
          <cell r="A116" t="str">
            <v>*</v>
          </cell>
          <cell r="B116" t="str">
            <v>E</v>
          </cell>
          <cell r="C116">
            <v>0</v>
          </cell>
          <cell r="D116" t="str">
            <v/>
          </cell>
          <cell r="E116" t="str">
            <v>PJ</v>
          </cell>
          <cell r="F116" t="str">
            <v>COM,DEM,ANNUAL,RES</v>
          </cell>
        </row>
        <row r="117">
          <cell r="A117" t="str">
            <v/>
          </cell>
          <cell r="B117" t="str">
            <v>E</v>
          </cell>
          <cell r="C117" t="str">
            <v>ICPT</v>
          </cell>
          <cell r="D117" t="str">
            <v>Industry-Chemicals-Ancillary - Gas - Existing</v>
          </cell>
          <cell r="E117" t="str">
            <v>PJ</v>
          </cell>
          <cell r="F117" t="str">
            <v>COM,DEM,ANNUAL,RES</v>
          </cell>
        </row>
        <row r="118">
          <cell r="A118" t="str">
            <v>*</v>
          </cell>
          <cell r="B118" t="str">
            <v>E</v>
          </cell>
          <cell r="C118" t="str">
            <v>Useful Energy Service</v>
          </cell>
          <cell r="D118" t="str">
            <v/>
          </cell>
          <cell r="E118" t="str">
            <v>PJ</v>
          </cell>
          <cell r="F118" t="str">
            <v>COM,DEM,ANNUAL,RES</v>
          </cell>
        </row>
        <row r="119">
          <cell r="A119" t="str">
            <v>*</v>
          </cell>
          <cell r="B119" t="str">
            <v>E</v>
          </cell>
          <cell r="C119">
            <v>0</v>
          </cell>
          <cell r="D119" t="str">
            <v/>
          </cell>
          <cell r="E119" t="str">
            <v>PJ</v>
          </cell>
          <cell r="F119" t="str">
            <v>COM,DEM,ANNUAL,RES</v>
          </cell>
        </row>
        <row r="120">
          <cell r="A120" t="str">
            <v>*</v>
          </cell>
          <cell r="B120" t="str">
            <v>E</v>
          </cell>
          <cell r="C120">
            <v>2</v>
          </cell>
          <cell r="D120" t="str">
            <v/>
          </cell>
          <cell r="E120" t="str">
            <v>PJ</v>
          </cell>
          <cell r="F120" t="str">
            <v>COM,DEM,ANNUAL,RES</v>
          </cell>
        </row>
        <row r="121">
          <cell r="A121" t="str">
            <v/>
          </cell>
          <cell r="B121" t="str">
            <v>E</v>
          </cell>
          <cell r="C121" t="str">
            <v>INFK</v>
          </cell>
          <cell r="D121" t="str">
            <v>Industry-Precious &amp; Non-Ferrous metals-Elec Heating - Electricity</v>
          </cell>
          <cell r="E121" t="str">
            <v>PJ</v>
          </cell>
          <cell r="F121" t="str">
            <v>COM,DEM,ANNUAL,RES</v>
          </cell>
        </row>
        <row r="122">
          <cell r="A122" t="str">
            <v/>
          </cell>
          <cell r="B122" t="str">
            <v>E</v>
          </cell>
          <cell r="C122" t="str">
            <v>INFA</v>
          </cell>
          <cell r="D122" t="str">
            <v>Industry-Precious &amp; Non-Ferrous metals-Compressed air - Electricity</v>
          </cell>
          <cell r="E122" t="str">
            <v>PJ</v>
          </cell>
          <cell r="F122" t="str">
            <v>COM,DEM,ANNUAL,RES</v>
          </cell>
        </row>
        <row r="123">
          <cell r="A123" t="str">
            <v/>
          </cell>
          <cell r="B123" t="str">
            <v>E</v>
          </cell>
          <cell r="C123" t="str">
            <v>INFL</v>
          </cell>
          <cell r="D123" t="str">
            <v>Industry-Precious &amp; Non-Ferrous metals-Lighting - Electricity</v>
          </cell>
          <cell r="E123" t="str">
            <v>PJ</v>
          </cell>
          <cell r="F123" t="str">
            <v>COM,DEM,ANNUAL,RES</v>
          </cell>
        </row>
        <row r="124">
          <cell r="A124" t="str">
            <v/>
          </cell>
          <cell r="B124" t="str">
            <v>E</v>
          </cell>
          <cell r="C124" t="str">
            <v>INFC</v>
          </cell>
          <cell r="D124" t="str">
            <v>Industry-Precious &amp; Non-Ferrous metals-Cooling - Electricity</v>
          </cell>
          <cell r="E124" t="str">
            <v>PJ</v>
          </cell>
          <cell r="F124" t="str">
            <v>COM,DEM,ANNUAL,RES</v>
          </cell>
        </row>
        <row r="125">
          <cell r="A125" t="str">
            <v/>
          </cell>
          <cell r="B125" t="str">
            <v>E</v>
          </cell>
          <cell r="C125" t="str">
            <v>INFH</v>
          </cell>
          <cell r="D125" t="str">
            <v>Industry-Precious &amp; Non-Ferrous metals-HVAC - Electricity</v>
          </cell>
          <cell r="E125" t="str">
            <v>PJ</v>
          </cell>
          <cell r="F125" t="str">
            <v>COM,DEM,ANNUAL,RES</v>
          </cell>
        </row>
        <row r="126">
          <cell r="A126" t="str">
            <v/>
          </cell>
          <cell r="B126" t="str">
            <v>E</v>
          </cell>
          <cell r="C126" t="str">
            <v>INFP</v>
          </cell>
          <cell r="D126" t="str">
            <v>Industry-Precious &amp; Non-Ferrous metals-Pumping - Electricity</v>
          </cell>
          <cell r="E126" t="str">
            <v>PJ</v>
          </cell>
          <cell r="F126" t="str">
            <v>COM,DEM,ANNUAL,RES</v>
          </cell>
        </row>
        <row r="127">
          <cell r="A127" t="str">
            <v/>
          </cell>
          <cell r="B127" t="str">
            <v>E</v>
          </cell>
          <cell r="C127" t="str">
            <v>INFF</v>
          </cell>
          <cell r="D127" t="str">
            <v>Industry-Precious &amp; Non-Ferrous metals-Fans - Electricity</v>
          </cell>
          <cell r="E127" t="str">
            <v>PJ</v>
          </cell>
          <cell r="F127" t="str">
            <v>COM,DEM,ANNUAL,RES</v>
          </cell>
        </row>
        <row r="128">
          <cell r="A128" t="str">
            <v/>
          </cell>
          <cell r="B128" t="str">
            <v>E</v>
          </cell>
          <cell r="C128" t="str">
            <v>INFO</v>
          </cell>
          <cell r="D128" t="str">
            <v>Industry-Precious &amp; Non-Ferrous metals-Other motive - Electricity</v>
          </cell>
          <cell r="E128" t="str">
            <v>PJ</v>
          </cell>
          <cell r="F128" t="str">
            <v>COM,DEM,ANNUAL,RES</v>
          </cell>
        </row>
        <row r="129">
          <cell r="A129" t="str">
            <v/>
          </cell>
          <cell r="B129" t="str">
            <v>E</v>
          </cell>
          <cell r="C129" t="str">
            <v>INFE</v>
          </cell>
          <cell r="D129" t="str">
            <v>Industry-Precious &amp; Non-Ferrous metals-Electrochemical - Electricity</v>
          </cell>
          <cell r="E129" t="str">
            <v>PJ</v>
          </cell>
          <cell r="F129" t="str">
            <v>COM,DEM,ANNUAL,RES</v>
          </cell>
        </row>
        <row r="130">
          <cell r="A130" t="str">
            <v>*</v>
          </cell>
          <cell r="B130" t="str">
            <v>E</v>
          </cell>
          <cell r="C130" t="str">
            <v xml:space="preserve"> </v>
          </cell>
          <cell r="D130" t="str">
            <v/>
          </cell>
          <cell r="E130" t="str">
            <v>PJ</v>
          </cell>
          <cell r="F130" t="str">
            <v>COM,DEM,ANNUAL,RES</v>
          </cell>
        </row>
        <row r="131">
          <cell r="A131" t="str">
            <v/>
          </cell>
          <cell r="B131" t="str">
            <v>E</v>
          </cell>
          <cell r="C131" t="str">
            <v>INFS</v>
          </cell>
          <cell r="D131" t="str">
            <v>Industry-Precious &amp; Non-Ferrous metals-boiler/process heating - Coal - Existing</v>
          </cell>
          <cell r="E131" t="str">
            <v>PJ</v>
          </cell>
          <cell r="F131" t="str">
            <v>COM,DEM,ANNUAL,RES</v>
          </cell>
        </row>
        <row r="132">
          <cell r="A132" t="str">
            <v/>
          </cell>
          <cell r="B132" t="str">
            <v>E</v>
          </cell>
          <cell r="C132" t="str">
            <v>INFS</v>
          </cell>
          <cell r="D132" t="str">
            <v>Industry-Precious &amp; Non-Ferrous metals-boiler/process heating - Gas - Existing</v>
          </cell>
          <cell r="E132" t="str">
            <v>PJ</v>
          </cell>
          <cell r="F132" t="str">
            <v>COM,DEM,ANNUAL,RES</v>
          </cell>
        </row>
        <row r="133">
          <cell r="A133" t="str">
            <v/>
          </cell>
          <cell r="B133" t="str">
            <v>E</v>
          </cell>
          <cell r="C133" t="str">
            <v>INFS</v>
          </cell>
          <cell r="D133" t="str">
            <v>Industry-Precious &amp; Non-Ferrous metals-boiler/process heating - Oil HFO - Existing</v>
          </cell>
          <cell r="E133" t="str">
            <v>PJ</v>
          </cell>
          <cell r="F133" t="str">
            <v>COM,DEM,ANNUAL,RES</v>
          </cell>
        </row>
        <row r="134">
          <cell r="A134" t="str">
            <v/>
          </cell>
          <cell r="B134" t="str">
            <v>E</v>
          </cell>
          <cell r="C134" t="str">
            <v>INFS</v>
          </cell>
          <cell r="D134" t="str">
            <v>Industry-Precious &amp; Non-Ferrous metals-boiler/process heating - Oil LPG - Existing</v>
          </cell>
          <cell r="E134" t="str">
            <v>PJ</v>
          </cell>
          <cell r="F134" t="str">
            <v>COM,DEM,ANNUAL,RES</v>
          </cell>
        </row>
        <row r="135">
          <cell r="A135" t="str">
            <v/>
          </cell>
          <cell r="B135" t="str">
            <v>E</v>
          </cell>
          <cell r="C135" t="str">
            <v>INFS</v>
          </cell>
          <cell r="D135" t="str">
            <v>Industry-Precious &amp; Non-Ferrous metals-boiler/process heating - Electricity - Existing</v>
          </cell>
          <cell r="E135" t="str">
            <v>PJ</v>
          </cell>
          <cell r="F135" t="str">
            <v>COM,DEM,ANNUAL,RES</v>
          </cell>
        </row>
        <row r="136">
          <cell r="A136" t="str">
            <v/>
          </cell>
          <cell r="B136" t="str">
            <v>E</v>
          </cell>
          <cell r="C136" t="str">
            <v>INFS</v>
          </cell>
          <cell r="D136" t="str">
            <v>Industry-Precious &amp; Non-Ferrous metals-boiler/process heating - Waste - Existing</v>
          </cell>
          <cell r="E136" t="str">
            <v>PJ</v>
          </cell>
          <cell r="F136" t="str">
            <v>COM,DEM,ANNUAL,RES</v>
          </cell>
        </row>
        <row r="137">
          <cell r="A137" t="str">
            <v>*</v>
          </cell>
          <cell r="B137" t="str">
            <v>E</v>
          </cell>
          <cell r="C137" t="str">
            <v>Useful Energy Service</v>
          </cell>
          <cell r="D137" t="str">
            <v/>
          </cell>
          <cell r="E137" t="str">
            <v>PJ</v>
          </cell>
          <cell r="F137" t="str">
            <v>COM,DEM,ANNUAL,RES</v>
          </cell>
        </row>
        <row r="138">
          <cell r="A138" t="str">
            <v>*</v>
          </cell>
          <cell r="B138" t="str">
            <v>E</v>
          </cell>
          <cell r="C138">
            <v>0</v>
          </cell>
          <cell r="D138" t="str">
            <v/>
          </cell>
          <cell r="E138" t="str">
            <v>PJ</v>
          </cell>
          <cell r="F138" t="str">
            <v>COM,DEM,ANNUAL,RES</v>
          </cell>
        </row>
        <row r="139">
          <cell r="A139" t="str">
            <v>*</v>
          </cell>
          <cell r="B139" t="str">
            <v>E</v>
          </cell>
          <cell r="C139">
            <v>2</v>
          </cell>
          <cell r="D139" t="str">
            <v/>
          </cell>
          <cell r="E139" t="str">
            <v>PJ</v>
          </cell>
          <cell r="F139" t="str">
            <v>COM,DEM,ANNUAL,RES</v>
          </cell>
        </row>
        <row r="140">
          <cell r="A140" t="str">
            <v>*</v>
          </cell>
          <cell r="B140" t="str">
            <v>E</v>
          </cell>
          <cell r="C140" t="str">
            <v>INMK</v>
          </cell>
          <cell r="D140" t="str">
            <v/>
          </cell>
          <cell r="E140" t="str">
            <v>PJ</v>
          </cell>
          <cell r="F140" t="str">
            <v>COM,DEM,ANNUAL,RES</v>
          </cell>
        </row>
        <row r="141">
          <cell r="A141" t="str">
            <v>*</v>
          </cell>
          <cell r="B141" t="str">
            <v>E</v>
          </cell>
          <cell r="C141" t="str">
            <v>INMA</v>
          </cell>
          <cell r="D141" t="str">
            <v/>
          </cell>
          <cell r="E141" t="str">
            <v>PJ</v>
          </cell>
          <cell r="F141" t="str">
            <v>COM,DEM,ANNUAL,RES</v>
          </cell>
        </row>
        <row r="142">
          <cell r="A142" t="str">
            <v>*</v>
          </cell>
          <cell r="B142" t="str">
            <v>E</v>
          </cell>
          <cell r="C142" t="str">
            <v>INML</v>
          </cell>
          <cell r="D142" t="str">
            <v/>
          </cell>
          <cell r="E142" t="str">
            <v>PJ</v>
          </cell>
          <cell r="F142" t="str">
            <v>COM,DEM,ANNUAL,RES</v>
          </cell>
        </row>
        <row r="143">
          <cell r="A143" t="str">
            <v>*</v>
          </cell>
          <cell r="B143" t="str">
            <v>E</v>
          </cell>
          <cell r="C143" t="str">
            <v>INMC</v>
          </cell>
          <cell r="D143" t="str">
            <v/>
          </cell>
          <cell r="E143" t="str">
            <v>PJ</v>
          </cell>
          <cell r="F143" t="str">
            <v>COM,DEM,ANNUAL,RES</v>
          </cell>
        </row>
        <row r="144">
          <cell r="A144" t="str">
            <v>*</v>
          </cell>
          <cell r="B144" t="str">
            <v>E</v>
          </cell>
          <cell r="C144" t="str">
            <v>INMH</v>
          </cell>
          <cell r="D144" t="str">
            <v/>
          </cell>
          <cell r="E144" t="str">
            <v>PJ</v>
          </cell>
          <cell r="F144" t="str">
            <v>COM,DEM,ANNUAL,RES</v>
          </cell>
        </row>
        <row r="145">
          <cell r="A145" t="str">
            <v>*</v>
          </cell>
          <cell r="B145" t="str">
            <v>E</v>
          </cell>
          <cell r="C145" t="str">
            <v>INMP</v>
          </cell>
          <cell r="D145" t="str">
            <v/>
          </cell>
          <cell r="E145" t="str">
            <v>PJ</v>
          </cell>
          <cell r="F145" t="str">
            <v>COM,DEM,ANNUAL,RES</v>
          </cell>
        </row>
        <row r="146">
          <cell r="A146" t="str">
            <v>*</v>
          </cell>
          <cell r="B146" t="str">
            <v>E</v>
          </cell>
          <cell r="C146" t="str">
            <v>INMF</v>
          </cell>
          <cell r="D146" t="str">
            <v/>
          </cell>
          <cell r="E146" t="str">
            <v>PJ</v>
          </cell>
          <cell r="F146" t="str">
            <v>COM,DEM,ANNUAL,RES</v>
          </cell>
        </row>
        <row r="147">
          <cell r="A147" t="str">
            <v>*</v>
          </cell>
          <cell r="B147" t="str">
            <v>E</v>
          </cell>
          <cell r="C147" t="str">
            <v>INMO</v>
          </cell>
          <cell r="D147" t="str">
            <v/>
          </cell>
          <cell r="E147" t="str">
            <v>PJ</v>
          </cell>
          <cell r="F147" t="str">
            <v>COM,DEM,ANNUAL,RES</v>
          </cell>
        </row>
        <row r="148">
          <cell r="A148" t="str">
            <v>*</v>
          </cell>
          <cell r="B148" t="str">
            <v>E</v>
          </cell>
          <cell r="C148" t="str">
            <v>INME</v>
          </cell>
          <cell r="D148" t="str">
            <v/>
          </cell>
          <cell r="E148" t="str">
            <v>PJ</v>
          </cell>
          <cell r="F148" t="str">
            <v>COM,DEM,ANNUAL,RES</v>
          </cell>
        </row>
        <row r="149">
          <cell r="A149" t="str">
            <v>*</v>
          </cell>
          <cell r="B149" t="str">
            <v>E</v>
          </cell>
          <cell r="C149" t="str">
            <v xml:space="preserve"> </v>
          </cell>
          <cell r="D149" t="str">
            <v/>
          </cell>
          <cell r="E149" t="str">
            <v>PJ</v>
          </cell>
          <cell r="F149" t="str">
            <v>COM,DEM,ANNUAL,RES</v>
          </cell>
        </row>
        <row r="150">
          <cell r="A150" t="str">
            <v>*</v>
          </cell>
          <cell r="B150" t="str">
            <v>E</v>
          </cell>
          <cell r="C150" t="str">
            <v>INMS</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Useful Energy Service</v>
          </cell>
          <cell r="D156" t="str">
            <v/>
          </cell>
          <cell r="E156" t="str">
            <v>PJ</v>
          </cell>
          <cell r="F156" t="str">
            <v>COM,DEM,ANNUAL,RES</v>
          </cell>
        </row>
        <row r="157">
          <cell r="A157" t="str">
            <v>*</v>
          </cell>
          <cell r="B157" t="str">
            <v>E</v>
          </cell>
          <cell r="C157">
            <v>0</v>
          </cell>
          <cell r="D157" t="str">
            <v/>
          </cell>
          <cell r="E157" t="str">
            <v>PJ</v>
          </cell>
          <cell r="F157" t="str">
            <v>COM,DEM,ANNUAL,RES</v>
          </cell>
        </row>
        <row r="158">
          <cell r="A158" t="str">
            <v>*</v>
          </cell>
          <cell r="B158" t="str">
            <v>E</v>
          </cell>
          <cell r="C158">
            <v>2</v>
          </cell>
          <cell r="D158" t="str">
            <v/>
          </cell>
          <cell r="E158" t="str">
            <v>PJ</v>
          </cell>
          <cell r="F158" t="str">
            <v>COM,DEM,ANNUAL,RES</v>
          </cell>
        </row>
        <row r="159">
          <cell r="A159" t="str">
            <v/>
          </cell>
          <cell r="B159" t="str">
            <v>E</v>
          </cell>
          <cell r="C159" t="str">
            <v>IFBK</v>
          </cell>
          <cell r="D159" t="str">
            <v>Industry-Food, Beverage &amp; Tabacco-Elec Heating - Electricity</v>
          </cell>
          <cell r="E159" t="str">
            <v>PJ</v>
          </cell>
          <cell r="F159" t="str">
            <v>COM,DEM,ANNUAL,RES</v>
          </cell>
        </row>
        <row r="160">
          <cell r="A160" t="str">
            <v/>
          </cell>
          <cell r="B160" t="str">
            <v>E</v>
          </cell>
          <cell r="C160" t="str">
            <v>IFBA</v>
          </cell>
          <cell r="D160" t="str">
            <v>Industry-Food, Beverage &amp; Tabacco-Compressed air - Electricity</v>
          </cell>
          <cell r="E160" t="str">
            <v>PJ</v>
          </cell>
          <cell r="F160" t="str">
            <v>COM,DEM,ANNUAL,RES</v>
          </cell>
        </row>
        <row r="161">
          <cell r="A161" t="str">
            <v/>
          </cell>
          <cell r="B161" t="str">
            <v>E</v>
          </cell>
          <cell r="C161" t="str">
            <v>IFBL</v>
          </cell>
          <cell r="D161" t="str">
            <v>Industry-Food, Beverage &amp; Tabacco-Lighting - Electricity</v>
          </cell>
          <cell r="E161" t="str">
            <v>PJ</v>
          </cell>
          <cell r="F161" t="str">
            <v>COM,DEM,ANNUAL,RES</v>
          </cell>
        </row>
        <row r="162">
          <cell r="A162" t="str">
            <v/>
          </cell>
          <cell r="B162" t="str">
            <v>E</v>
          </cell>
          <cell r="C162" t="str">
            <v>IFBC</v>
          </cell>
          <cell r="D162" t="str">
            <v>Industry-Food, Beverage &amp; Tabacco-Cooling - Electricity</v>
          </cell>
          <cell r="E162" t="str">
            <v>PJ</v>
          </cell>
          <cell r="F162" t="str">
            <v>COM,DEM,ANNUAL,RES</v>
          </cell>
        </row>
        <row r="163">
          <cell r="A163" t="str">
            <v/>
          </cell>
          <cell r="B163" t="str">
            <v>E</v>
          </cell>
          <cell r="C163" t="str">
            <v>IFBH</v>
          </cell>
          <cell r="D163" t="str">
            <v>Industry-Food, Beverage &amp; Tabacco-HVAC - Electricity</v>
          </cell>
          <cell r="E163" t="str">
            <v>PJ</v>
          </cell>
          <cell r="F163" t="str">
            <v>COM,DEM,ANNUAL,RES</v>
          </cell>
        </row>
        <row r="164">
          <cell r="A164" t="str">
            <v/>
          </cell>
          <cell r="B164" t="str">
            <v>E</v>
          </cell>
          <cell r="C164" t="str">
            <v>IFBP</v>
          </cell>
          <cell r="D164" t="str">
            <v>Industry-Food, Beverage &amp; Tabacco-Pumping - Electricity</v>
          </cell>
          <cell r="E164" t="str">
            <v>PJ</v>
          </cell>
          <cell r="F164" t="str">
            <v>COM,DEM,ANNUAL,RES</v>
          </cell>
        </row>
        <row r="165">
          <cell r="A165" t="str">
            <v/>
          </cell>
          <cell r="B165" t="str">
            <v>E</v>
          </cell>
          <cell r="C165" t="str">
            <v>IFBF</v>
          </cell>
          <cell r="D165" t="str">
            <v>Industry-Food, Beverage &amp; Tabacco-Fans - Electricity</v>
          </cell>
          <cell r="E165" t="str">
            <v>PJ</v>
          </cell>
          <cell r="F165" t="str">
            <v>COM,DEM,ANNUAL,RES</v>
          </cell>
        </row>
        <row r="166">
          <cell r="A166" t="str">
            <v/>
          </cell>
          <cell r="B166" t="str">
            <v>E</v>
          </cell>
          <cell r="C166" t="str">
            <v>IFBO</v>
          </cell>
          <cell r="D166" t="str">
            <v>Industry-Food, Beverage &amp; Tabacco-Other motive - Electricity</v>
          </cell>
          <cell r="E166" t="str">
            <v>PJ</v>
          </cell>
          <cell r="F166" t="str">
            <v>COM,DEM,ANNUAL,RES</v>
          </cell>
        </row>
        <row r="167">
          <cell r="A167" t="str">
            <v/>
          </cell>
          <cell r="B167" t="str">
            <v>E</v>
          </cell>
          <cell r="C167" t="str">
            <v>IFBE</v>
          </cell>
          <cell r="D167" t="str">
            <v>Industry-Food, Beverage &amp; Tabacco-Electrochemical - Electricity</v>
          </cell>
          <cell r="E167" t="str">
            <v>PJ</v>
          </cell>
          <cell r="F167" t="str">
            <v>COM,DEM,ANNUAL,RES</v>
          </cell>
        </row>
        <row r="168">
          <cell r="A168" t="str">
            <v>*</v>
          </cell>
          <cell r="B168" t="str">
            <v>E</v>
          </cell>
          <cell r="C168" t="str">
            <v xml:space="preserve"> </v>
          </cell>
          <cell r="D168" t="str">
            <v/>
          </cell>
          <cell r="E168" t="str">
            <v>PJ</v>
          </cell>
          <cell r="F168" t="str">
            <v>COM,DEM,ANNUAL,RES</v>
          </cell>
        </row>
        <row r="169">
          <cell r="A169" t="str">
            <v/>
          </cell>
          <cell r="B169" t="str">
            <v>E</v>
          </cell>
          <cell r="C169" t="str">
            <v>IFBS</v>
          </cell>
          <cell r="D169" t="str">
            <v>Industry-Food, Beverage &amp; Tabacco-boiler/process heating - Coal - Existing</v>
          </cell>
          <cell r="E169" t="str">
            <v>PJ</v>
          </cell>
          <cell r="F169" t="str">
            <v>COM,DEM,ANNUAL,RES</v>
          </cell>
        </row>
        <row r="170">
          <cell r="A170" t="str">
            <v/>
          </cell>
          <cell r="B170" t="str">
            <v>E</v>
          </cell>
          <cell r="C170" t="str">
            <v>IFBS</v>
          </cell>
          <cell r="D170" t="str">
            <v>Industry-Food, Beverage &amp; Tabacco-boiler/process heating - Gas - Existing</v>
          </cell>
          <cell r="E170" t="str">
            <v>PJ</v>
          </cell>
          <cell r="F170" t="str">
            <v>COM,DEM,ANNUAL,RES</v>
          </cell>
        </row>
        <row r="171">
          <cell r="A171" t="str">
            <v/>
          </cell>
          <cell r="B171" t="str">
            <v>E</v>
          </cell>
          <cell r="C171" t="str">
            <v>IFBS</v>
          </cell>
          <cell r="D171" t="str">
            <v>Industry-Food, Beverage &amp; Tabacco-boiler/process heating - Oil HFO - Existing</v>
          </cell>
          <cell r="E171" t="str">
            <v>PJ</v>
          </cell>
          <cell r="F171" t="str">
            <v>COM,DEM,ANNUAL,RES</v>
          </cell>
        </row>
        <row r="172">
          <cell r="A172" t="str">
            <v/>
          </cell>
          <cell r="B172" t="str">
            <v>E</v>
          </cell>
          <cell r="C172" t="str">
            <v>IFBS</v>
          </cell>
          <cell r="D172" t="str">
            <v>Industry-Food, Beverage &amp; Tabacco-boiler/process heating - Oil LPG - Existing</v>
          </cell>
          <cell r="E172" t="str">
            <v>PJ</v>
          </cell>
          <cell r="F172" t="str">
            <v>COM,DEM,ANNUAL,RES</v>
          </cell>
        </row>
        <row r="173">
          <cell r="A173" t="str">
            <v/>
          </cell>
          <cell r="B173" t="str">
            <v>E</v>
          </cell>
          <cell r="C173" t="str">
            <v>IFBS</v>
          </cell>
          <cell r="D173" t="str">
            <v>Industry-Food, Beverage &amp; Tabacco-boiler/process heating - Electricity - Existing</v>
          </cell>
          <cell r="E173" t="str">
            <v>PJ</v>
          </cell>
          <cell r="F173" t="str">
            <v>COM,DEM,ANNUAL,RES</v>
          </cell>
        </row>
        <row r="174">
          <cell r="A174" t="str">
            <v/>
          </cell>
          <cell r="B174" t="str">
            <v>E</v>
          </cell>
          <cell r="C174" t="str">
            <v>IFBS</v>
          </cell>
          <cell r="D174" t="str">
            <v>Industry-Food, Beverage &amp; Tabacco-boiler/process heating - Biomass bagasse - Existing</v>
          </cell>
          <cell r="E174" t="str">
            <v>PJ</v>
          </cell>
          <cell r="F174" t="str">
            <v>COM,DEM,ANNUAL,RES</v>
          </cell>
        </row>
        <row r="175">
          <cell r="A175" t="str">
            <v/>
          </cell>
          <cell r="B175" t="str">
            <v>E</v>
          </cell>
          <cell r="C175" t="str">
            <v>IFBS</v>
          </cell>
          <cell r="D175" t="str">
            <v>Industry-Food, Beverage &amp; Tabacco-boiler/process heating - Waste - Existing</v>
          </cell>
          <cell r="E175" t="str">
            <v>PJ</v>
          </cell>
          <cell r="F175" t="str">
            <v>COM,DEM,ANNUAL,RES</v>
          </cell>
        </row>
        <row r="176">
          <cell r="A176" t="str">
            <v>*</v>
          </cell>
          <cell r="B176" t="str">
            <v>E</v>
          </cell>
          <cell r="C176" t="str">
            <v>Useful Energy Service</v>
          </cell>
          <cell r="D176" t="str">
            <v/>
          </cell>
          <cell r="E176" t="str">
            <v>PJ</v>
          </cell>
          <cell r="F176" t="str">
            <v>COM,DEM,ANNUAL,RES</v>
          </cell>
        </row>
        <row r="177">
          <cell r="A177" t="str">
            <v>*</v>
          </cell>
          <cell r="B177" t="str">
            <v>E</v>
          </cell>
          <cell r="C177">
            <v>0</v>
          </cell>
          <cell r="D177" t="str">
            <v/>
          </cell>
          <cell r="E177" t="str">
            <v>PJ</v>
          </cell>
          <cell r="F177" t="str">
            <v>COM,DEM,ANNUAL,RES</v>
          </cell>
        </row>
        <row r="178">
          <cell r="A178" t="str">
            <v>*</v>
          </cell>
          <cell r="B178" t="str">
            <v>E</v>
          </cell>
          <cell r="C178">
            <v>2</v>
          </cell>
          <cell r="D178" t="str">
            <v/>
          </cell>
          <cell r="E178" t="str">
            <v>PJ</v>
          </cell>
          <cell r="F178" t="str">
            <v>COM,DEM,ANNUAL,RES</v>
          </cell>
        </row>
        <row r="179">
          <cell r="A179" t="str">
            <v>*</v>
          </cell>
          <cell r="B179" t="str">
            <v>E</v>
          </cell>
          <cell r="C179" t="str">
            <v>IPPK</v>
          </cell>
          <cell r="D179" t="str">
            <v/>
          </cell>
          <cell r="E179" t="str">
            <v>PJ</v>
          </cell>
          <cell r="F179" t="str">
            <v>COM,DEM,ANNUAL,RES</v>
          </cell>
        </row>
        <row r="180">
          <cell r="A180" t="str">
            <v>*</v>
          </cell>
          <cell r="B180" t="str">
            <v>E</v>
          </cell>
          <cell r="C180" t="str">
            <v>IPPA</v>
          </cell>
          <cell r="D180" t="str">
            <v/>
          </cell>
          <cell r="E180" t="str">
            <v>PJ</v>
          </cell>
          <cell r="F180" t="str">
            <v>COM,DEM,ANNUAL,RES</v>
          </cell>
        </row>
        <row r="181">
          <cell r="A181" t="str">
            <v>*</v>
          </cell>
          <cell r="B181" t="str">
            <v>E</v>
          </cell>
          <cell r="C181" t="str">
            <v>IPPL</v>
          </cell>
          <cell r="D181" t="str">
            <v/>
          </cell>
          <cell r="E181" t="str">
            <v>PJ</v>
          </cell>
          <cell r="F181" t="str">
            <v>COM,DEM,ANNUAL,RES</v>
          </cell>
        </row>
        <row r="182">
          <cell r="A182" t="str">
            <v>*</v>
          </cell>
          <cell r="B182" t="str">
            <v>E</v>
          </cell>
          <cell r="C182" t="str">
            <v>IPPC</v>
          </cell>
          <cell r="D182" t="str">
            <v/>
          </cell>
          <cell r="E182" t="str">
            <v>PJ</v>
          </cell>
          <cell r="F182" t="str">
            <v>COM,DEM,ANNUAL,RES</v>
          </cell>
        </row>
        <row r="183">
          <cell r="A183" t="str">
            <v>*</v>
          </cell>
          <cell r="B183" t="str">
            <v>E</v>
          </cell>
          <cell r="C183" t="str">
            <v>IPPH</v>
          </cell>
          <cell r="D183" t="str">
            <v/>
          </cell>
          <cell r="E183" t="str">
            <v>PJ</v>
          </cell>
          <cell r="F183" t="str">
            <v>COM,DEM,ANNUAL,RES</v>
          </cell>
        </row>
        <row r="184">
          <cell r="A184" t="str">
            <v>*</v>
          </cell>
          <cell r="B184" t="str">
            <v>E</v>
          </cell>
          <cell r="C184" t="str">
            <v>IPPP</v>
          </cell>
          <cell r="D184" t="str">
            <v/>
          </cell>
          <cell r="E184" t="str">
            <v>PJ</v>
          </cell>
          <cell r="F184" t="str">
            <v>COM,DEM,ANNUAL,RES</v>
          </cell>
        </row>
        <row r="185">
          <cell r="A185" t="str">
            <v>*</v>
          </cell>
          <cell r="B185" t="str">
            <v>E</v>
          </cell>
          <cell r="C185" t="str">
            <v>IPPF</v>
          </cell>
          <cell r="D185" t="str">
            <v/>
          </cell>
          <cell r="E185" t="str">
            <v>PJ</v>
          </cell>
          <cell r="F185" t="str">
            <v>COM,DEM,ANNUAL,RES</v>
          </cell>
        </row>
        <row r="186">
          <cell r="A186" t="str">
            <v>*</v>
          </cell>
          <cell r="B186" t="str">
            <v>E</v>
          </cell>
          <cell r="C186" t="str">
            <v>IPPO</v>
          </cell>
          <cell r="D186" t="str">
            <v/>
          </cell>
          <cell r="E186" t="str">
            <v>PJ</v>
          </cell>
          <cell r="F186" t="str">
            <v>COM,DEM,ANNUAL,RES</v>
          </cell>
        </row>
        <row r="187">
          <cell r="A187" t="str">
            <v>*</v>
          </cell>
          <cell r="B187" t="str">
            <v>E</v>
          </cell>
          <cell r="C187" t="str">
            <v>IPPE</v>
          </cell>
          <cell r="D187" t="str">
            <v/>
          </cell>
          <cell r="E187" t="str">
            <v>PJ</v>
          </cell>
          <cell r="F187" t="str">
            <v>COM,DEM,ANNUAL,RES</v>
          </cell>
        </row>
        <row r="188">
          <cell r="A188" t="str">
            <v>*</v>
          </cell>
          <cell r="B188" t="str">
            <v>E</v>
          </cell>
          <cell r="C188" t="str">
            <v xml:space="preserve"> </v>
          </cell>
          <cell r="D188" t="str">
            <v/>
          </cell>
          <cell r="E188" t="str">
            <v>PJ</v>
          </cell>
          <cell r="F188" t="str">
            <v>COM,DEM,ANNUAL,RES</v>
          </cell>
        </row>
        <row r="189">
          <cell r="A189" t="str">
            <v>*</v>
          </cell>
          <cell r="B189" t="str">
            <v>E</v>
          </cell>
          <cell r="C189" t="str">
            <v>IPPS</v>
          </cell>
          <cell r="D189" t="str">
            <v/>
          </cell>
          <cell r="E189" t="str">
            <v>PJ</v>
          </cell>
          <cell r="F189" t="str">
            <v>COM,DEM,ANNUAL,RES</v>
          </cell>
        </row>
        <row r="190">
          <cell r="A190" t="str">
            <v>*</v>
          </cell>
          <cell r="B190" t="str">
            <v>E</v>
          </cell>
          <cell r="C190" t="str">
            <v>IPPS</v>
          </cell>
          <cell r="D190" t="str">
            <v/>
          </cell>
          <cell r="E190" t="str">
            <v>PJ</v>
          </cell>
          <cell r="F190" t="str">
            <v>COM,DEM,ANNUAL,RES</v>
          </cell>
        </row>
      </sheetData>
      <sheetData sheetId="72"/>
      <sheetData sheetId="73"/>
      <sheetData sheetId="74"/>
      <sheetData sheetId="75">
        <row r="10">
          <cell r="A10" t="str">
            <v/>
          </cell>
          <cell r="D10" t="str">
            <v>IMIK</v>
          </cell>
          <cell r="J10">
            <v>2.1376388478991801</v>
          </cell>
          <cell r="O10">
            <v>2.2014400000000003</v>
          </cell>
        </row>
        <row r="11">
          <cell r="A11" t="str">
            <v/>
          </cell>
          <cell r="D11" t="str">
            <v>IMIA</v>
          </cell>
          <cell r="J11">
            <v>0.99318058118269725</v>
          </cell>
          <cell r="O11">
            <v>1.0228235984706235</v>
          </cell>
        </row>
        <row r="12">
          <cell r="A12" t="str">
            <v/>
          </cell>
          <cell r="D12" t="str">
            <v>IMIL</v>
          </cell>
          <cell r="J12">
            <v>1.4429062223319464</v>
          </cell>
          <cell r="O12">
            <v>1.4859720000000001</v>
          </cell>
        </row>
        <row r="13">
          <cell r="A13" t="str">
            <v/>
          </cell>
          <cell r="D13" t="str">
            <v>IMIC</v>
          </cell>
          <cell r="J13">
            <v>17.35324025908308</v>
          </cell>
          <cell r="O13">
            <v>17.871174671764589</v>
          </cell>
        </row>
        <row r="14">
          <cell r="A14" t="str">
            <v/>
          </cell>
          <cell r="D14" t="str">
            <v>IMIH</v>
          </cell>
          <cell r="J14">
            <v>7.6954998524370488</v>
          </cell>
          <cell r="O14">
            <v>7.9251840000000016</v>
          </cell>
        </row>
        <row r="15">
          <cell r="A15" t="str">
            <v/>
          </cell>
          <cell r="D15" t="str">
            <v>IMIP</v>
          </cell>
          <cell r="J15">
            <v>15.294517272248457</v>
          </cell>
          <cell r="O15">
            <v>15.751005899293361</v>
          </cell>
        </row>
        <row r="16">
          <cell r="A16" t="str">
            <v/>
          </cell>
          <cell r="D16" t="str">
            <v>IMIF</v>
          </cell>
          <cell r="J16">
            <v>5.8889063414920679</v>
          </cell>
          <cell r="O16">
            <v>6.0646698992933636</v>
          </cell>
        </row>
        <row r="17">
          <cell r="A17" t="str">
            <v/>
          </cell>
          <cell r="D17" t="str">
            <v>IMIO</v>
          </cell>
          <cell r="J17">
            <v>28.894976807848312</v>
          </cell>
          <cell r="O17">
            <v>29.757392277177463</v>
          </cell>
        </row>
        <row r="18">
          <cell r="A18" t="str">
            <v/>
          </cell>
          <cell r="D18" t="str">
            <v>IMIE</v>
          </cell>
          <cell r="J18">
            <v>0.18682963530638833</v>
          </cell>
          <cell r="O18">
            <v>0.19240585599999999</v>
          </cell>
        </row>
        <row r="19">
          <cell r="A19" t="str">
            <v>*</v>
          </cell>
          <cell r="D19">
            <v>0</v>
          </cell>
          <cell r="J19" t="str">
            <v/>
          </cell>
          <cell r="O19" t="str">
            <v/>
          </cell>
        </row>
        <row r="20">
          <cell r="A20" t="str">
            <v/>
          </cell>
          <cell r="D20" t="str">
            <v>IMIS</v>
          </cell>
          <cell r="J20">
            <v>20.275122960000004</v>
          </cell>
          <cell r="O20">
            <v>0.90805719120000006</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46.045999999999999</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0.80918000000000012</v>
          </cell>
        </row>
        <row r="74">
          <cell r="A74" t="str">
            <v/>
          </cell>
          <cell r="D74" t="str">
            <v>ICPA</v>
          </cell>
          <cell r="J74">
            <v>0.2086787369811067</v>
          </cell>
          <cell r="O74">
            <v>0.30344250000000006</v>
          </cell>
        </row>
        <row r="75">
          <cell r="A75" t="str">
            <v/>
          </cell>
          <cell r="D75" t="str">
            <v>ICPL</v>
          </cell>
          <cell r="J75">
            <v>0.3338859791697707</v>
          </cell>
          <cell r="O75">
            <v>0.48550800000000005</v>
          </cell>
        </row>
        <row r="76">
          <cell r="A76" t="str">
            <v/>
          </cell>
          <cell r="D76" t="str">
            <v>ICPC</v>
          </cell>
          <cell r="J76">
            <v>2.7823831597480893</v>
          </cell>
          <cell r="O76">
            <v>4.0459000000000005</v>
          </cell>
        </row>
        <row r="77">
          <cell r="A77" t="str">
            <v/>
          </cell>
          <cell r="D77" t="str">
            <v>ICPH</v>
          </cell>
          <cell r="J77">
            <v>0.5008289687546561</v>
          </cell>
          <cell r="O77">
            <v>0.72826200000000008</v>
          </cell>
        </row>
        <row r="78">
          <cell r="A78" t="str">
            <v/>
          </cell>
          <cell r="D78" t="str">
            <v>ICPP</v>
          </cell>
          <cell r="J78">
            <v>7.7906728472946494</v>
          </cell>
          <cell r="O78">
            <v>11.328520000000001</v>
          </cell>
        </row>
        <row r="79">
          <cell r="A79" t="str">
            <v/>
          </cell>
          <cell r="D79" t="str">
            <v>ICPF</v>
          </cell>
          <cell r="J79">
            <v>1.7807252222387775</v>
          </cell>
          <cell r="O79">
            <v>2.5893760000000006</v>
          </cell>
        </row>
        <row r="80">
          <cell r="A80" t="str">
            <v/>
          </cell>
          <cell r="D80" t="str">
            <v>ICPO</v>
          </cell>
          <cell r="J80">
            <v>4.4518130555969435</v>
          </cell>
          <cell r="O80">
            <v>6.473440000000001</v>
          </cell>
        </row>
        <row r="81">
          <cell r="A81" t="str">
            <v/>
          </cell>
          <cell r="D81" t="str">
            <v>ICPE</v>
          </cell>
          <cell r="J81">
            <v>1.6916889611268384</v>
          </cell>
          <cell r="O81">
            <v>2.4599072000000004</v>
          </cell>
        </row>
        <row r="82">
          <cell r="A82" t="str">
            <v>*</v>
          </cell>
          <cell r="D82" t="str">
            <v xml:space="preserve"> </v>
          </cell>
          <cell r="J82" t="str">
            <v/>
          </cell>
          <cell r="O82" t="str">
            <v/>
          </cell>
        </row>
        <row r="83">
          <cell r="A83" t="str">
            <v/>
          </cell>
          <cell r="D83" t="str">
            <v>ICPS</v>
          </cell>
          <cell r="J83">
            <v>27.288197120140854</v>
          </cell>
          <cell r="O83">
            <v>16.650368400000001</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39.004000030517574</v>
          </cell>
          <cell r="O90">
            <v>28.64</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0.16707000000000002</v>
          </cell>
        </row>
        <row r="95">
          <cell r="A95" t="str">
            <v/>
          </cell>
          <cell r="D95" t="str">
            <v>INFA</v>
          </cell>
          <cell r="J95">
            <v>0</v>
          </cell>
          <cell r="O95">
            <v>0</v>
          </cell>
        </row>
        <row r="96">
          <cell r="A96" t="str">
            <v/>
          </cell>
          <cell r="D96" t="str">
            <v>INFL</v>
          </cell>
          <cell r="J96">
            <v>0.20036876463104916</v>
          </cell>
          <cell r="O96">
            <v>5.0121000000000006E-2</v>
          </cell>
        </row>
        <row r="97">
          <cell r="A97" t="str">
            <v/>
          </cell>
          <cell r="D97" t="str">
            <v>INFC</v>
          </cell>
          <cell r="J97">
            <v>0</v>
          </cell>
          <cell r="O97">
            <v>0</v>
          </cell>
        </row>
        <row r="98">
          <cell r="A98" t="str">
            <v/>
          </cell>
          <cell r="D98" t="str">
            <v>INFH</v>
          </cell>
          <cell r="J98">
            <v>0.60110629389314751</v>
          </cell>
          <cell r="O98">
            <v>0.15036300000000002</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0.9355920000000002</v>
          </cell>
        </row>
        <row r="102">
          <cell r="A102" t="str">
            <v/>
          </cell>
          <cell r="D102" t="str">
            <v>INFE</v>
          </cell>
          <cell r="J102">
            <v>45.684078335879221</v>
          </cell>
          <cell r="O102">
            <v>11.427588</v>
          </cell>
        </row>
        <row r="103">
          <cell r="A103" t="str">
            <v>*</v>
          </cell>
          <cell r="D103" t="str">
            <v xml:space="preserve"> </v>
          </cell>
          <cell r="J103" t="str">
            <v/>
          </cell>
          <cell r="O103" t="str">
            <v/>
          </cell>
        </row>
        <row r="104">
          <cell r="A104" t="str">
            <v/>
          </cell>
          <cell r="D104" t="str">
            <v>INFS</v>
          </cell>
          <cell r="J104">
            <v>2.487856608</v>
          </cell>
          <cell r="O104">
            <v>0.65368000000000004</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6.8922304000000008</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61.561340800000004</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37.630000000000003</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RES"/>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 val="hhld fuel use calibration"/>
      <sheetName val="SW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E57"/>
          <cell r="F57"/>
        </row>
        <row r="58">
          <cell r="A58" t="str">
            <v>*</v>
          </cell>
          <cell r="B58" t="str">
            <v>E</v>
          </cell>
          <cell r="C58">
            <v>0</v>
          </cell>
          <cell r="E58"/>
          <cell r="F58"/>
        </row>
        <row r="59">
          <cell r="A59" t="str">
            <v>*</v>
          </cell>
          <cell r="B59" t="str">
            <v>E</v>
          </cell>
          <cell r="C59">
            <v>0</v>
          </cell>
          <cell r="E59"/>
          <cell r="F59"/>
        </row>
        <row r="60">
          <cell r="A60" t="str">
            <v>*</v>
          </cell>
          <cell r="B60" t="str">
            <v>E</v>
          </cell>
          <cell r="C60">
            <v>0</v>
          </cell>
          <cell r="E60"/>
          <cell r="F60"/>
        </row>
        <row r="61">
          <cell r="A61" t="str">
            <v>*</v>
          </cell>
          <cell r="B61" t="str">
            <v>E</v>
          </cell>
          <cell r="C61">
            <v>0</v>
          </cell>
          <cell r="E61"/>
          <cell r="F61"/>
        </row>
        <row r="62">
          <cell r="A62" t="str">
            <v>*</v>
          </cell>
          <cell r="B62" t="str">
            <v>E</v>
          </cell>
          <cell r="C62">
            <v>0</v>
          </cell>
          <cell r="E62"/>
          <cell r="F62"/>
        </row>
        <row r="63">
          <cell r="A63" t="str">
            <v>*</v>
          </cell>
          <cell r="B63" t="str">
            <v>E</v>
          </cell>
          <cell r="C63">
            <v>0</v>
          </cell>
          <cell r="E63"/>
          <cell r="F63"/>
        </row>
        <row r="64">
          <cell r="A64" t="str">
            <v>*</v>
          </cell>
          <cell r="B64" t="str">
            <v>E</v>
          </cell>
          <cell r="C64">
            <v>0</v>
          </cell>
          <cell r="E64"/>
          <cell r="F64"/>
        </row>
        <row r="65">
          <cell r="A65" t="str">
            <v>*</v>
          </cell>
          <cell r="B65" t="str">
            <v>E</v>
          </cell>
          <cell r="C65">
            <v>0</v>
          </cell>
          <cell r="E65"/>
          <cell r="F65"/>
        </row>
        <row r="66">
          <cell r="A66" t="str">
            <v>*</v>
          </cell>
          <cell r="B66" t="str">
            <v>E</v>
          </cell>
          <cell r="C66">
            <v>0</v>
          </cell>
          <cell r="E66"/>
          <cell r="F66"/>
        </row>
        <row r="67">
          <cell r="A67" t="str">
            <v>*</v>
          </cell>
          <cell r="B67" t="str">
            <v>E</v>
          </cell>
          <cell r="C67">
            <v>0</v>
          </cell>
          <cell r="E67"/>
          <cell r="F67"/>
        </row>
        <row r="68">
          <cell r="A68" t="str">
            <v>*</v>
          </cell>
          <cell r="B68" t="str">
            <v>E</v>
          </cell>
          <cell r="C68">
            <v>0</v>
          </cell>
          <cell r="E68"/>
          <cell r="F68"/>
        </row>
        <row r="69">
          <cell r="A69" t="str">
            <v>*</v>
          </cell>
          <cell r="B69" t="str">
            <v>E</v>
          </cell>
          <cell r="C69">
            <v>0</v>
          </cell>
          <cell r="E69"/>
          <cell r="F69"/>
        </row>
      </sheetData>
      <sheetData sheetId="38"/>
      <sheetData sheetId="39">
        <row r="7">
          <cell r="J7">
            <v>2012</v>
          </cell>
        </row>
        <row r="10">
          <cell r="A10" t="str">
            <v/>
          </cell>
          <cell r="B10" t="str">
            <v>COM_PROJ</v>
          </cell>
          <cell r="C10" t="str">
            <v>-</v>
          </cell>
          <cell r="D10" t="str">
            <v>RLEL</v>
          </cell>
          <cell r="E10" t="str">
            <v>-</v>
          </cell>
          <cell r="F10" t="str">
            <v>-</v>
          </cell>
          <cell r="G10" t="str">
            <v>-</v>
          </cell>
          <cell r="H10" t="str">
            <v>-</v>
          </cell>
          <cell r="I10">
            <v>0</v>
          </cell>
          <cell r="J10">
            <v>10.675790841703828</v>
          </cell>
          <cell r="O10">
            <v>20.491889899361627</v>
          </cell>
        </row>
        <row r="11">
          <cell r="A11" t="str">
            <v/>
          </cell>
          <cell r="B11" t="str">
            <v>COM_PROJ</v>
          </cell>
          <cell r="C11" t="str">
            <v>-</v>
          </cell>
          <cell r="D11" t="str">
            <v>RLNL</v>
          </cell>
          <cell r="J11">
            <v>4.742986727829742E-2</v>
          </cell>
          <cell r="O11">
            <v>3.937190369912124E-2</v>
          </cell>
        </row>
        <row r="12">
          <cell r="A12" t="str">
            <v/>
          </cell>
          <cell r="B12" t="str">
            <v>COM_PROJ</v>
          </cell>
          <cell r="C12" t="str">
            <v>-</v>
          </cell>
          <cell r="D12" t="str">
            <v>RLEK</v>
          </cell>
          <cell r="J12">
            <v>10.057098199765919</v>
          </cell>
          <cell r="O12">
            <v>13.029523746436579</v>
          </cell>
        </row>
        <row r="13">
          <cell r="A13" t="str">
            <v/>
          </cell>
          <cell r="B13" t="str">
            <v>COM_PROJ</v>
          </cell>
          <cell r="C13" t="str">
            <v>-</v>
          </cell>
          <cell r="D13" t="str">
            <v>RLEH</v>
          </cell>
          <cell r="J13">
            <v>14.676645094763478</v>
          </cell>
          <cell r="O13">
            <v>11.714868987268536</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5.6663208871172328</v>
          </cell>
          <cell r="O15">
            <v>7.5399320889956272</v>
          </cell>
        </row>
        <row r="16">
          <cell r="A16" t="str">
            <v/>
          </cell>
          <cell r="B16" t="str">
            <v>COM_PROJ</v>
          </cell>
          <cell r="C16" t="str">
            <v>-</v>
          </cell>
          <cell r="D16" t="str">
            <v>RLER</v>
          </cell>
          <cell r="J16">
            <v>1.4353020960038052</v>
          </cell>
          <cell r="O16">
            <v>2.7508359942850364</v>
          </cell>
        </row>
        <row r="17">
          <cell r="A17" t="str">
            <v/>
          </cell>
          <cell r="B17" t="str">
            <v>COM_PROJ</v>
          </cell>
          <cell r="C17" t="str">
            <v>-</v>
          </cell>
          <cell r="D17" t="str">
            <v>RLEO</v>
          </cell>
          <cell r="J17">
            <v>1.9878001092508091</v>
          </cell>
          <cell r="O17">
            <v>2.8316452663738976</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16.048248534198041</v>
          </cell>
          <cell r="O21">
            <v>23.733071300894967</v>
          </cell>
        </row>
        <row r="22">
          <cell r="A22" t="str">
            <v/>
          </cell>
          <cell r="B22" t="str">
            <v>COM_PROJ</v>
          </cell>
          <cell r="C22" t="str">
            <v>-</v>
          </cell>
          <cell r="D22" t="str">
            <v>RMNL</v>
          </cell>
          <cell r="J22">
            <v>3.3422499241462768E-2</v>
          </cell>
          <cell r="O22">
            <v>6.9820065506040807E-2</v>
          </cell>
        </row>
        <row r="23">
          <cell r="A23" t="str">
            <v/>
          </cell>
          <cell r="B23" t="str">
            <v>COM_PROJ</v>
          </cell>
          <cell r="C23" t="str">
            <v>-</v>
          </cell>
          <cell r="D23" t="str">
            <v>RMEK</v>
          </cell>
          <cell r="J23">
            <v>9.0463349071673473</v>
          </cell>
          <cell r="O23">
            <v>8.5214144346224359</v>
          </cell>
        </row>
        <row r="24">
          <cell r="A24" t="str">
            <v/>
          </cell>
          <cell r="B24" t="str">
            <v>COM_PROJ</v>
          </cell>
          <cell r="C24" t="str">
            <v>-</v>
          </cell>
          <cell r="D24" t="str">
            <v>RMEH</v>
          </cell>
          <cell r="J24">
            <v>13.162628870539544</v>
          </cell>
          <cell r="O24">
            <v>12.821554072278539</v>
          </cell>
        </row>
        <row r="25">
          <cell r="A25" t="str">
            <v/>
          </cell>
          <cell r="B25" t="str">
            <v>COM_PROJ</v>
          </cell>
          <cell r="C25" t="str">
            <v>-</v>
          </cell>
          <cell r="D25" t="str">
            <v>RMEWG</v>
          </cell>
          <cell r="J25">
            <v>8.7188154069192709</v>
          </cell>
          <cell r="O25">
            <v>11.327545738742195</v>
          </cell>
        </row>
        <row r="26">
          <cell r="A26" t="str">
            <v/>
          </cell>
          <cell r="B26" t="str">
            <v>COM_PROJ</v>
          </cell>
          <cell r="C26" t="str">
            <v>-</v>
          </cell>
          <cell r="D26" t="str">
            <v>RMEW</v>
          </cell>
          <cell r="J26">
            <v>6.0852758810873713</v>
          </cell>
          <cell r="O26">
            <v>5.1178833846491818</v>
          </cell>
        </row>
        <row r="27">
          <cell r="A27" t="str">
            <v/>
          </cell>
          <cell r="B27" t="str">
            <v>COM_PROJ</v>
          </cell>
          <cell r="C27" t="str">
            <v>-</v>
          </cell>
          <cell r="D27" t="str">
            <v>RMER</v>
          </cell>
          <cell r="J27">
            <v>3.2557540936677181</v>
          </cell>
          <cell r="O27">
            <v>4.6616097407455594</v>
          </cell>
        </row>
        <row r="28">
          <cell r="A28" t="str">
            <v/>
          </cell>
          <cell r="B28" t="str">
            <v>COM_PROJ</v>
          </cell>
          <cell r="C28" t="str">
            <v>-</v>
          </cell>
          <cell r="D28" t="str">
            <v>RMEO</v>
          </cell>
          <cell r="J28">
            <v>5.8181446629629967</v>
          </cell>
          <cell r="O28">
            <v>8.7695625286385859</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29.15490908598996</v>
          </cell>
          <cell r="O32">
            <v>32.975548072017844</v>
          </cell>
        </row>
        <row r="33">
          <cell r="A33" t="str">
            <v/>
          </cell>
          <cell r="B33" t="str">
            <v>COM_PROJ</v>
          </cell>
          <cell r="C33" t="str">
            <v>-</v>
          </cell>
          <cell r="D33" t="str">
            <v>RHEK</v>
          </cell>
          <cell r="J33">
            <v>3.8919130042693295</v>
          </cell>
          <cell r="O33">
            <v>5.5491248772964843</v>
          </cell>
        </row>
        <row r="34">
          <cell r="A34" t="str">
            <v/>
          </cell>
          <cell r="B34" t="str">
            <v>COM_PROJ</v>
          </cell>
          <cell r="C34" t="str">
            <v>-</v>
          </cell>
          <cell r="D34" t="str">
            <v>RHEH</v>
          </cell>
          <cell r="J34">
            <v>7.0842557645058601</v>
          </cell>
          <cell r="O34">
            <v>7.8144046784441201</v>
          </cell>
        </row>
        <row r="35">
          <cell r="A35" t="str">
            <v/>
          </cell>
          <cell r="B35" t="str">
            <v>COM_PROJ</v>
          </cell>
          <cell r="C35" t="str">
            <v>-</v>
          </cell>
          <cell r="D35" t="str">
            <v>RHEWG</v>
          </cell>
          <cell r="J35">
            <v>31.741720257828536</v>
          </cell>
          <cell r="O35">
            <v>34.073163808470241</v>
          </cell>
        </row>
        <row r="36">
          <cell r="A36" t="str">
            <v/>
          </cell>
          <cell r="B36" t="str">
            <v>COM_PROJ</v>
          </cell>
          <cell r="C36" t="str">
            <v>-</v>
          </cell>
          <cell r="D36" t="str">
            <v>RHEW</v>
          </cell>
          <cell r="J36">
            <v>0.56043977372187515</v>
          </cell>
          <cell r="O36">
            <v>7.0418936454266614</v>
          </cell>
        </row>
        <row r="37">
          <cell r="A37" t="str">
            <v/>
          </cell>
          <cell r="B37" t="str">
            <v>COM_PROJ</v>
          </cell>
          <cell r="C37" t="str">
            <v>-</v>
          </cell>
          <cell r="D37" t="str">
            <v>RHER</v>
          </cell>
          <cell r="J37">
            <v>5.223009778600523</v>
          </cell>
          <cell r="O37">
            <v>5.914840886545818</v>
          </cell>
        </row>
        <row r="38">
          <cell r="A38" t="str">
            <v/>
          </cell>
          <cell r="B38" t="str">
            <v>COM_PROJ</v>
          </cell>
          <cell r="C38" t="str">
            <v>-</v>
          </cell>
          <cell r="D38" t="str">
            <v>RHEO</v>
          </cell>
          <cell r="J38">
            <v>11.690334156193106</v>
          </cell>
          <cell r="O38">
            <v>13.238816195163526</v>
          </cell>
        </row>
        <row r="39">
          <cell r="A39" t="str">
            <v>*</v>
          </cell>
          <cell r="B39" t="str">
            <v>COM_PROJ</v>
          </cell>
          <cell r="C39" t="str">
            <v>-</v>
          </cell>
          <cell r="D39">
            <v>0</v>
          </cell>
          <cell r="J39">
            <v>0</v>
          </cell>
          <cell r="O39">
            <v>0</v>
          </cell>
        </row>
      </sheetData>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8.579706769854079</v>
          </cell>
        </row>
        <row r="13">
          <cell r="J13">
            <v>121.5402719056889</v>
          </cell>
          <cell r="O13">
            <v>104.67427977141128</v>
          </cell>
        </row>
        <row r="14">
          <cell r="J14">
            <v>29.566390373747051</v>
          </cell>
          <cell r="O14">
            <v>25.463499211305457</v>
          </cell>
        </row>
        <row r="15">
          <cell r="J15">
            <v>9.6831090230750316</v>
          </cell>
          <cell r="O15">
            <v>13.273861719969341</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AF42190C-5A17-4FD6-A414-124E76AF6892}" userId="144eb91ed0ec6402" providerId="Windows Live"/>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 ref="E27" dT="2020-08-05T15:40:22.94" personId="{AF42190C-5A17-4FD6-A414-124E76AF6892}" id="{D83F73A4-4026-4CA1-8B74-47F3F994A01F}">
    <text>Added a 2% adjustment factor in order to hit vehicle parc otherwise get infes in 2017 (after population was upated)</text>
  </threadedComment>
</ThreadedComment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bin"/><Relationship Id="rId4" Type="http://schemas.openxmlformats.org/officeDocument/2006/relationships/comments" Target="../comments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3.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1.xm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2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hyperlink" Target="https://dataportal.opendataforafrica.org/nbyenxf/afdb-socio-economic-database-1960-202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1"/>
  <sheetViews>
    <sheetView tabSelected="1" workbookViewId="0">
      <selection activeCell="D29" sqref="D29"/>
    </sheetView>
  </sheetViews>
  <sheetFormatPr defaultColWidth="8.85546875" defaultRowHeight="15"/>
  <cols>
    <col min="1" max="1" width="15.85546875" customWidth="1"/>
    <col min="2" max="2" width="64.42578125" customWidth="1"/>
    <col min="3" max="3" width="26.85546875" style="4" customWidth="1"/>
    <col min="4" max="4" width="23.42578125" customWidth="1"/>
  </cols>
  <sheetData>
    <row r="1" spans="1:4">
      <c r="A1" s="83" t="s">
        <v>216</v>
      </c>
      <c r="B1" s="83" t="s">
        <v>32</v>
      </c>
      <c r="C1" s="83" t="s">
        <v>218</v>
      </c>
      <c r="D1" s="83" t="s">
        <v>214</v>
      </c>
    </row>
    <row r="2" spans="1:4">
      <c r="A2" s="82">
        <v>41499</v>
      </c>
      <c r="B2" s="81" t="s">
        <v>217</v>
      </c>
      <c r="C2" s="81" t="s">
        <v>219</v>
      </c>
      <c r="D2" t="s">
        <v>215</v>
      </c>
    </row>
    <row r="3" spans="1:4">
      <c r="A3" s="82">
        <v>41500</v>
      </c>
      <c r="B3" t="s">
        <v>222</v>
      </c>
      <c r="C3" s="4" t="s">
        <v>223</v>
      </c>
      <c r="D3" s="4" t="s">
        <v>215</v>
      </c>
    </row>
    <row r="4" spans="1:4">
      <c r="A4" s="82">
        <v>41502</v>
      </c>
      <c r="B4" t="s">
        <v>224</v>
      </c>
      <c r="C4" s="4" t="s">
        <v>223</v>
      </c>
      <c r="D4" s="4" t="s">
        <v>215</v>
      </c>
    </row>
    <row r="5" spans="1:4">
      <c r="A5" s="82">
        <v>41505</v>
      </c>
      <c r="B5" t="s">
        <v>226</v>
      </c>
      <c r="C5" s="4" t="s">
        <v>261</v>
      </c>
      <c r="D5" t="s">
        <v>225</v>
      </c>
    </row>
    <row r="7" spans="1:4">
      <c r="A7" s="82">
        <v>41599</v>
      </c>
      <c r="B7" t="s">
        <v>267</v>
      </c>
      <c r="C7" s="4" t="s">
        <v>4</v>
      </c>
      <c r="D7" t="s">
        <v>225</v>
      </c>
    </row>
    <row r="9" spans="1:4">
      <c r="A9" s="82" t="s">
        <v>407</v>
      </c>
      <c r="B9" t="s">
        <v>408</v>
      </c>
      <c r="D9" t="s">
        <v>409</v>
      </c>
    </row>
    <row r="11" spans="1:4">
      <c r="A11" s="82">
        <v>42467</v>
      </c>
      <c r="B11" t="s">
        <v>430</v>
      </c>
      <c r="C11" s="4" t="s">
        <v>431</v>
      </c>
      <c r="D11" t="s">
        <v>432</v>
      </c>
    </row>
    <row r="13" spans="1:4">
      <c r="A13" s="141">
        <v>42963</v>
      </c>
      <c r="B13" t="s">
        <v>447</v>
      </c>
      <c r="C13" s="4" t="s">
        <v>446</v>
      </c>
      <c r="D13" t="s">
        <v>225</v>
      </c>
    </row>
    <row r="14" spans="1:4">
      <c r="B14" t="s">
        <v>448</v>
      </c>
      <c r="D14" s="4"/>
    </row>
    <row r="15" spans="1:4">
      <c r="B15" t="s">
        <v>449</v>
      </c>
    </row>
    <row r="17" spans="1:4">
      <c r="A17" s="141">
        <v>43007</v>
      </c>
      <c r="B17" t="s">
        <v>501</v>
      </c>
      <c r="D17" t="s">
        <v>225</v>
      </c>
    </row>
    <row r="18" spans="1:4">
      <c r="B18" t="s">
        <v>502</v>
      </c>
    </row>
    <row r="20" spans="1:4">
      <c r="A20" s="141">
        <v>43039</v>
      </c>
      <c r="B20" t="s">
        <v>518</v>
      </c>
      <c r="C20" s="4" t="s">
        <v>519</v>
      </c>
      <c r="D20" t="s">
        <v>520</v>
      </c>
    </row>
    <row r="21" spans="1:4">
      <c r="B21" t="s">
        <v>521</v>
      </c>
      <c r="C21" s="4" t="s">
        <v>4</v>
      </c>
      <c r="D21" t="s">
        <v>520</v>
      </c>
    </row>
    <row r="24" spans="1:4" s="185" customFormat="1">
      <c r="A24" s="216">
        <v>44007.756886921299</v>
      </c>
      <c r="B24" s="185" t="s">
        <v>605</v>
      </c>
      <c r="C24" s="185" t="s">
        <v>606</v>
      </c>
      <c r="D24" s="185" t="s">
        <v>607</v>
      </c>
    </row>
    <row r="25" spans="1:4" s="185" customFormat="1"/>
    <row r="26" spans="1:4" s="185" customFormat="1">
      <c r="A26" s="82">
        <v>44061</v>
      </c>
      <c r="B26" s="185" t="s">
        <v>658</v>
      </c>
      <c r="C26" s="185" t="s">
        <v>541</v>
      </c>
      <c r="D26" s="185" t="s">
        <v>409</v>
      </c>
    </row>
    <row r="27" spans="1:4" s="185" customFormat="1">
      <c r="B27" s="185" t="s">
        <v>659</v>
      </c>
      <c r="C27" s="185" t="s">
        <v>541</v>
      </c>
      <c r="D27" s="185" t="s">
        <v>409</v>
      </c>
    </row>
    <row r="28" spans="1:4" s="185" customFormat="1">
      <c r="B28" s="185" t="s">
        <v>660</v>
      </c>
      <c r="C28" s="185" t="s">
        <v>541</v>
      </c>
      <c r="D28" s="185" t="s">
        <v>409</v>
      </c>
    </row>
    <row r="29" spans="1:4" s="185" customFormat="1"/>
    <row r="30" spans="1:4" s="185" customFormat="1"/>
    <row r="31" spans="1:4" s="185" customFormat="1"/>
    <row r="32" spans="1:4" s="185" customFormat="1"/>
    <row r="33" spans="1:2" s="185" customFormat="1"/>
    <row r="34" spans="1:2" s="185" customFormat="1"/>
    <row r="35" spans="1:2" s="185" customFormat="1"/>
    <row r="37" spans="1:2">
      <c r="A37" s="216">
        <f ca="1">NOW()</f>
        <v>44061.50450127315</v>
      </c>
    </row>
    <row r="38" spans="1:2">
      <c r="A38" t="s">
        <v>505</v>
      </c>
      <c r="B38" t="s">
        <v>506</v>
      </c>
    </row>
    <row r="39" spans="1:2">
      <c r="B39" t="s">
        <v>509</v>
      </c>
    </row>
    <row r="40" spans="1:2">
      <c r="B40" t="s">
        <v>507</v>
      </c>
    </row>
    <row r="41" spans="1:2">
      <c r="B41" t="s">
        <v>508</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8" customWidth="1"/>
    <col min="2" max="2" width="42.42578125" style="18" customWidth="1"/>
    <col min="3" max="3" width="28.42578125" style="18" customWidth="1"/>
    <col min="4" max="4" width="21.85546875" style="18" customWidth="1"/>
    <col min="5" max="16384" width="9.140625" style="18"/>
  </cols>
  <sheetData>
    <row r="1" spans="1:2">
      <c r="A1" s="16" t="s">
        <v>26</v>
      </c>
      <c r="B1" s="18"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AB157"/>
  <sheetViews>
    <sheetView workbookViewId="0"/>
  </sheetViews>
  <sheetFormatPr defaultColWidth="8.85546875" defaultRowHeight="15"/>
  <cols>
    <col min="2" max="2" width="31.42578125" customWidth="1"/>
    <col min="6" max="6" width="13.140625" customWidth="1"/>
  </cols>
  <sheetData>
    <row r="2" spans="2:28">
      <c r="B2" s="4"/>
      <c r="C2" s="4"/>
      <c r="D2" s="4"/>
      <c r="E2" s="5"/>
      <c r="F2" s="4"/>
      <c r="G2" s="4"/>
    </row>
    <row r="3" spans="2:28" ht="18" thickBot="1">
      <c r="B3" s="37" t="s">
        <v>404</v>
      </c>
      <c r="C3" s="4"/>
      <c r="E3" s="4"/>
    </row>
    <row r="4" spans="2:28" ht="18.75" thickTop="1" thickBot="1">
      <c r="B4" s="37" t="s">
        <v>286</v>
      </c>
      <c r="C4" s="4"/>
      <c r="E4" s="4"/>
    </row>
    <row r="5" spans="2:28" s="4" customFormat="1" ht="15.75" thickTop="1"/>
    <row r="6" spans="2:28" ht="18" thickBot="1">
      <c r="B6" s="37" t="s">
        <v>287</v>
      </c>
      <c r="C6" s="4"/>
    </row>
    <row r="7" spans="2:28" ht="15.75" thickTop="1">
      <c r="B7" s="4" t="s">
        <v>1</v>
      </c>
      <c r="C7" s="29">
        <v>1</v>
      </c>
      <c r="D7" s="5"/>
    </row>
    <row r="8" spans="2:28">
      <c r="B8" s="4" t="s">
        <v>3</v>
      </c>
      <c r="C8" s="29">
        <v>1</v>
      </c>
      <c r="D8" s="5"/>
    </row>
    <row r="9" spans="2:28">
      <c r="B9" s="4" t="s">
        <v>139</v>
      </c>
      <c r="C9" s="29">
        <v>1</v>
      </c>
      <c r="D9" s="5"/>
    </row>
    <row r="10" spans="2:28">
      <c r="B10" s="4" t="s">
        <v>140</v>
      </c>
      <c r="C10" s="29">
        <v>1</v>
      </c>
      <c r="D10" s="5"/>
    </row>
    <row r="11" spans="2:28">
      <c r="B11" s="4" t="s">
        <v>2</v>
      </c>
      <c r="C11" s="29">
        <v>1</v>
      </c>
      <c r="D11" s="5"/>
    </row>
    <row r="12" spans="2:28">
      <c r="B12" s="4"/>
      <c r="C12" s="4"/>
      <c r="D12" s="4"/>
      <c r="E12" s="4"/>
      <c r="F12" s="4"/>
      <c r="G12" s="4"/>
    </row>
    <row r="13" spans="2:28">
      <c r="B13" s="5" t="s">
        <v>278</v>
      </c>
      <c r="C13" s="4"/>
      <c r="D13" s="4"/>
      <c r="E13" s="4"/>
      <c r="F13" s="4"/>
      <c r="G13" s="4"/>
      <c r="H13" s="2"/>
      <c r="I13" s="2"/>
      <c r="J13" s="4"/>
      <c r="K13" s="4"/>
      <c r="L13" s="4"/>
      <c r="M13" s="2"/>
      <c r="N13" s="2"/>
      <c r="O13" s="2"/>
      <c r="P13" s="2"/>
      <c r="Q13" s="4"/>
      <c r="R13" s="4"/>
      <c r="S13" s="4"/>
      <c r="T13" s="1"/>
      <c r="U13" s="1"/>
      <c r="V13" s="1"/>
      <c r="W13" s="1"/>
      <c r="X13" s="1"/>
      <c r="Y13" s="1"/>
      <c r="Z13" s="1"/>
      <c r="AA13" s="1"/>
      <c r="AB13" s="1"/>
    </row>
    <row r="14" spans="2:28">
      <c r="B14" s="2" t="s">
        <v>271</v>
      </c>
      <c r="C14" s="4"/>
      <c r="D14" s="4"/>
      <c r="E14" s="4"/>
      <c r="F14" s="4"/>
      <c r="G14" s="4"/>
      <c r="H14" s="2"/>
      <c r="I14" s="2"/>
      <c r="J14" s="4"/>
      <c r="K14" s="4"/>
      <c r="L14" s="4"/>
      <c r="M14" s="2"/>
      <c r="N14" s="2"/>
      <c r="O14" s="2"/>
      <c r="P14" s="2"/>
      <c r="Q14" s="4"/>
      <c r="R14" s="4"/>
      <c r="S14" s="4"/>
    </row>
    <row r="15" spans="2:28">
      <c r="B15" s="2" t="s">
        <v>272</v>
      </c>
      <c r="C15" s="4"/>
      <c r="D15" s="4"/>
      <c r="E15" s="4"/>
      <c r="F15" s="4"/>
      <c r="G15" s="4"/>
      <c r="H15" s="2"/>
      <c r="I15" s="2"/>
      <c r="J15" s="4"/>
      <c r="K15" s="4"/>
      <c r="L15" s="4"/>
      <c r="M15" s="2"/>
      <c r="N15" s="2"/>
      <c r="O15" s="2"/>
      <c r="P15" s="2"/>
      <c r="Q15" s="4"/>
      <c r="R15" s="4"/>
      <c r="S15" s="4"/>
    </row>
    <row r="16" spans="2:28">
      <c r="B16" s="2" t="s">
        <v>273</v>
      </c>
      <c r="C16" s="4"/>
      <c r="D16" s="4"/>
      <c r="E16" s="4"/>
      <c r="F16" s="4"/>
      <c r="G16" s="4"/>
      <c r="H16" s="2"/>
      <c r="I16" s="2"/>
      <c r="J16" s="4"/>
      <c r="K16" s="4"/>
      <c r="L16" s="4"/>
      <c r="M16" s="2"/>
      <c r="N16" s="2"/>
      <c r="O16" s="2"/>
      <c r="P16" s="2"/>
      <c r="Q16" s="4"/>
      <c r="R16" s="4"/>
      <c r="S16" s="4"/>
    </row>
    <row r="17" spans="2:19">
      <c r="B17" s="2" t="s">
        <v>274</v>
      </c>
      <c r="C17" s="4"/>
      <c r="D17" s="4"/>
      <c r="E17" s="4"/>
      <c r="F17" s="4"/>
      <c r="G17" s="4" t="s">
        <v>472</v>
      </c>
      <c r="H17" s="2"/>
      <c r="I17" s="2"/>
      <c r="J17" s="4"/>
      <c r="K17" s="4"/>
      <c r="L17" s="4"/>
      <c r="M17" s="2"/>
      <c r="N17" s="2"/>
      <c r="O17" s="2"/>
      <c r="P17" s="2"/>
      <c r="Q17" s="4"/>
      <c r="R17" s="4"/>
      <c r="S17" s="4"/>
    </row>
    <row r="18" spans="2:19">
      <c r="B18" s="4"/>
      <c r="C18" s="4"/>
      <c r="D18" s="4"/>
      <c r="E18" s="4"/>
      <c r="F18" s="4"/>
      <c r="G18" s="4" t="s">
        <v>471</v>
      </c>
      <c r="H18" s="2" t="s">
        <v>473</v>
      </c>
      <c r="I18" s="2"/>
      <c r="J18" s="4"/>
      <c r="K18" s="4"/>
      <c r="L18" s="4"/>
      <c r="M18" s="2"/>
      <c r="N18" s="2"/>
      <c r="O18" s="2"/>
      <c r="P18" s="2"/>
      <c r="Q18" s="4"/>
      <c r="R18" s="4"/>
      <c r="S18" s="4"/>
    </row>
    <row r="19" spans="2:19">
      <c r="B19" s="4" t="s">
        <v>470</v>
      </c>
      <c r="C19" s="29">
        <v>1</v>
      </c>
      <c r="D19" s="4"/>
      <c r="E19" s="4"/>
      <c r="F19" s="4"/>
      <c r="G19" s="4">
        <v>1</v>
      </c>
      <c r="H19" s="30">
        <v>0</v>
      </c>
      <c r="I19" s="2"/>
      <c r="J19" s="4"/>
      <c r="K19" s="4"/>
      <c r="L19" s="4"/>
      <c r="M19" s="2"/>
      <c r="N19" s="2"/>
      <c r="O19" s="2"/>
      <c r="P19" s="2"/>
      <c r="Q19" s="4"/>
      <c r="R19" s="4"/>
      <c r="S19" s="4"/>
    </row>
    <row r="20" spans="2:19">
      <c r="B20" s="4"/>
      <c r="C20" s="4"/>
      <c r="D20" s="4"/>
      <c r="E20" s="4"/>
      <c r="F20" s="4"/>
      <c r="G20" s="4">
        <v>2</v>
      </c>
      <c r="H20" s="30">
        <v>0.04</v>
      </c>
      <c r="I20" s="2"/>
      <c r="J20" s="4"/>
      <c r="K20" s="4"/>
      <c r="L20" s="4"/>
      <c r="M20" s="2"/>
      <c r="N20" s="2"/>
      <c r="O20" s="2"/>
      <c r="P20" s="2"/>
      <c r="Q20" s="4"/>
      <c r="R20" s="4"/>
      <c r="S20" s="4"/>
    </row>
    <row r="21" spans="2:19">
      <c r="B21" s="4"/>
      <c r="C21" s="4"/>
      <c r="D21" s="4"/>
      <c r="E21" s="4"/>
      <c r="F21" s="4"/>
      <c r="G21" s="4">
        <v>3</v>
      </c>
      <c r="H21" s="30">
        <v>0.06</v>
      </c>
      <c r="I21" s="2"/>
      <c r="J21" s="4"/>
      <c r="K21" s="4"/>
      <c r="L21" s="4"/>
      <c r="M21" s="2"/>
      <c r="N21" s="2"/>
      <c r="O21" s="2"/>
      <c r="P21" s="2"/>
      <c r="Q21" s="4"/>
      <c r="R21" s="4"/>
      <c r="S21" s="4"/>
    </row>
    <row r="22" spans="2:19">
      <c r="B22" s="4"/>
      <c r="C22" s="4"/>
      <c r="D22" s="4"/>
      <c r="E22" s="4"/>
      <c r="F22" s="4"/>
      <c r="G22" s="4">
        <v>4</v>
      </c>
      <c r="H22" s="30">
        <v>0.08</v>
      </c>
      <c r="I22" s="2"/>
      <c r="J22" s="4"/>
      <c r="K22" s="4"/>
      <c r="L22" s="4"/>
      <c r="M22" s="2"/>
      <c r="N22" s="2"/>
      <c r="O22" s="2"/>
      <c r="P22" s="2"/>
      <c r="Q22" s="4"/>
      <c r="R22" s="4"/>
      <c r="S22" s="4"/>
    </row>
    <row r="23" spans="2:19">
      <c r="B23" s="4"/>
      <c r="C23" s="4"/>
      <c r="D23" s="4"/>
      <c r="E23" s="4"/>
      <c r="F23" s="4"/>
      <c r="G23" s="4">
        <v>5</v>
      </c>
      <c r="H23" s="30">
        <v>0.1</v>
      </c>
      <c r="I23" s="2"/>
      <c r="J23" s="4"/>
      <c r="K23" s="4"/>
      <c r="L23" s="4"/>
      <c r="M23" s="2"/>
      <c r="N23" s="2"/>
      <c r="O23" s="2"/>
      <c r="P23" s="2"/>
      <c r="Q23" s="4"/>
      <c r="R23" s="4"/>
      <c r="S23" s="4"/>
    </row>
    <row r="24" spans="2:19">
      <c r="B24" s="4"/>
      <c r="C24" s="4"/>
      <c r="D24" s="4"/>
      <c r="E24" s="4"/>
      <c r="F24" s="4"/>
      <c r="G24" s="4"/>
      <c r="H24" s="2"/>
      <c r="I24" s="2"/>
      <c r="J24" s="4"/>
      <c r="K24" s="4"/>
      <c r="L24" s="4"/>
      <c r="M24" s="2"/>
      <c r="N24" s="2"/>
      <c r="O24" s="2"/>
      <c r="P24" s="2"/>
      <c r="Q24" s="4"/>
      <c r="R24" s="4"/>
      <c r="S24" s="4"/>
    </row>
    <row r="25" spans="2:19">
      <c r="B25" s="4"/>
      <c r="C25" s="4"/>
      <c r="D25" s="4"/>
      <c r="E25" s="4"/>
      <c r="F25" s="4"/>
      <c r="G25" s="4"/>
      <c r="H25" s="2"/>
      <c r="I25" s="2"/>
      <c r="J25" s="4"/>
      <c r="K25" s="4"/>
      <c r="L25" s="4"/>
      <c r="M25" s="2"/>
      <c r="N25" s="2"/>
      <c r="O25" s="2"/>
      <c r="P25" s="2"/>
      <c r="Q25" s="4"/>
      <c r="R25" s="4"/>
      <c r="S25" s="4"/>
    </row>
    <row r="26" spans="2:19">
      <c r="B26" s="4"/>
      <c r="C26" s="4"/>
      <c r="D26" s="4"/>
      <c r="E26" s="4"/>
      <c r="F26" s="4"/>
      <c r="G26" s="4"/>
      <c r="H26" s="2"/>
      <c r="I26" s="2"/>
      <c r="J26" s="4"/>
      <c r="K26" s="4"/>
      <c r="L26" s="4"/>
      <c r="M26" s="2"/>
      <c r="N26" s="2"/>
      <c r="O26" s="2"/>
      <c r="P26" s="2"/>
      <c r="Q26" s="4"/>
      <c r="R26" s="4"/>
      <c r="S26" s="4"/>
    </row>
    <row r="27" spans="2:19">
      <c r="B27" s="4"/>
      <c r="C27" s="4"/>
      <c r="D27" s="4"/>
      <c r="E27" s="4"/>
      <c r="F27" s="4"/>
      <c r="G27" s="4"/>
      <c r="H27" s="2"/>
      <c r="I27" s="2"/>
      <c r="J27" s="4"/>
      <c r="K27" s="4"/>
      <c r="L27" s="4"/>
      <c r="M27" s="2"/>
      <c r="N27" s="2"/>
      <c r="O27" s="2"/>
      <c r="P27" s="2"/>
      <c r="Q27" s="4"/>
      <c r="R27" s="4"/>
      <c r="S27" s="4"/>
    </row>
    <row r="28" spans="2:19">
      <c r="B28" s="4"/>
      <c r="C28" s="4"/>
      <c r="D28" s="4"/>
      <c r="E28" s="4"/>
      <c r="F28" s="4"/>
      <c r="G28" s="4"/>
      <c r="H28" s="2"/>
      <c r="I28" s="2"/>
      <c r="J28" s="4"/>
      <c r="K28" s="4"/>
      <c r="L28" s="4"/>
      <c r="M28" s="2"/>
      <c r="N28" s="2"/>
      <c r="O28" s="2"/>
      <c r="P28" s="2"/>
      <c r="Q28" s="4"/>
      <c r="R28" s="4"/>
      <c r="S28" s="4"/>
    </row>
    <row r="29" spans="2:19">
      <c r="B29" s="4" t="s">
        <v>126</v>
      </c>
      <c r="C29" s="31">
        <v>1E-8</v>
      </c>
      <c r="D29" s="4"/>
      <c r="E29" s="4"/>
      <c r="F29" s="4"/>
      <c r="G29" s="4"/>
      <c r="H29" s="2"/>
      <c r="I29" s="2"/>
      <c r="J29" s="4"/>
      <c r="K29" s="4"/>
      <c r="L29" s="4"/>
      <c r="M29" s="2"/>
      <c r="N29" s="2"/>
      <c r="O29" s="2"/>
      <c r="P29" s="2"/>
      <c r="Q29" s="4"/>
      <c r="R29" s="4"/>
      <c r="S29" s="4"/>
    </row>
    <row r="30" spans="2:19">
      <c r="B30" s="4"/>
      <c r="C30" s="4"/>
      <c r="D30" s="4"/>
      <c r="E30" s="4"/>
      <c r="F30" s="4"/>
      <c r="G30" s="4"/>
      <c r="H30" s="2"/>
      <c r="I30" s="2"/>
      <c r="J30" s="4"/>
      <c r="K30" s="4"/>
      <c r="L30" s="4"/>
      <c r="M30" s="2"/>
      <c r="N30" s="2"/>
      <c r="O30" s="2"/>
      <c r="P30" s="2"/>
      <c r="Q30" s="4"/>
      <c r="R30" s="4"/>
      <c r="S30" s="4"/>
    </row>
    <row r="31" spans="2:19">
      <c r="B31" s="4"/>
      <c r="C31" s="4"/>
      <c r="D31" s="4"/>
      <c r="E31" s="4"/>
      <c r="F31" s="4"/>
      <c r="G31" s="4"/>
      <c r="H31" s="2"/>
      <c r="I31" s="2"/>
      <c r="J31" s="4"/>
      <c r="K31" s="4"/>
      <c r="L31" s="4"/>
      <c r="Q31" s="4"/>
      <c r="R31" s="4"/>
      <c r="S31" s="4"/>
    </row>
    <row r="32" spans="2:19">
      <c r="B32" s="4"/>
      <c r="C32" s="4"/>
      <c r="D32" s="4"/>
      <c r="E32" s="4"/>
      <c r="F32" s="4"/>
      <c r="G32" s="4"/>
      <c r="H32" s="2"/>
      <c r="I32" s="2"/>
      <c r="J32" s="4"/>
      <c r="K32" s="4"/>
      <c r="L32" s="4"/>
      <c r="Q32" s="4"/>
      <c r="R32" s="4"/>
      <c r="S32" s="4"/>
    </row>
    <row r="33" spans="2:12">
      <c r="B33" s="4"/>
      <c r="C33" s="4"/>
      <c r="D33" s="4"/>
      <c r="E33" s="4"/>
      <c r="F33" s="4"/>
      <c r="G33" s="4"/>
      <c r="H33" s="2"/>
      <c r="I33" s="2"/>
      <c r="J33" s="4"/>
      <c r="K33" s="4"/>
      <c r="L33" s="4"/>
    </row>
    <row r="34" spans="2:12">
      <c r="B34" s="4"/>
      <c r="C34" s="4"/>
      <c r="D34" s="4"/>
      <c r="E34" s="4"/>
      <c r="F34" s="4"/>
      <c r="G34" s="4"/>
      <c r="H34" s="2"/>
      <c r="I34" s="2"/>
      <c r="J34" s="4"/>
      <c r="K34" s="4"/>
      <c r="L34" s="4"/>
    </row>
    <row r="35" spans="2:12">
      <c r="B35" s="4"/>
      <c r="C35" s="4"/>
      <c r="D35" s="4"/>
      <c r="E35" s="4"/>
      <c r="F35" s="4"/>
      <c r="G35" s="4"/>
      <c r="H35" s="2"/>
      <c r="I35" s="2"/>
      <c r="J35" s="4"/>
      <c r="K35" s="4"/>
      <c r="L35" s="4"/>
    </row>
    <row r="36" spans="2:12">
      <c r="B36" s="4"/>
      <c r="C36" s="4"/>
      <c r="D36" s="4"/>
      <c r="E36" s="4"/>
      <c r="F36" s="4"/>
      <c r="G36" s="4"/>
      <c r="H36" s="2"/>
      <c r="I36" s="2"/>
      <c r="J36" s="4"/>
      <c r="K36" s="4"/>
      <c r="L36" s="4"/>
    </row>
    <row r="37" spans="2:12">
      <c r="B37" s="4"/>
      <c r="C37" s="4"/>
      <c r="D37" s="4"/>
      <c r="E37" s="4"/>
      <c r="F37" s="4"/>
      <c r="G37" s="4"/>
      <c r="H37" s="2"/>
      <c r="I37" s="2"/>
      <c r="J37" s="2"/>
      <c r="K37" s="2"/>
    </row>
    <row r="38" spans="2:12">
      <c r="B38" s="4"/>
      <c r="C38" s="4"/>
      <c r="D38" s="4"/>
      <c r="E38" s="4"/>
      <c r="F38" s="4"/>
      <c r="G38" s="4"/>
      <c r="H38" s="2"/>
      <c r="I38" s="2"/>
      <c r="J38" s="2"/>
      <c r="K38" s="2"/>
    </row>
    <row r="39" spans="2:12">
      <c r="B39" s="4"/>
      <c r="C39" s="4"/>
      <c r="D39" s="4"/>
      <c r="E39" s="4"/>
      <c r="F39" s="4"/>
      <c r="G39" s="4"/>
      <c r="H39" s="2"/>
      <c r="I39" s="2"/>
      <c r="J39" s="2"/>
      <c r="K39" s="2"/>
    </row>
    <row r="40" spans="2:12">
      <c r="B40" s="4"/>
      <c r="C40" s="4"/>
      <c r="D40" s="4"/>
      <c r="E40" s="4"/>
      <c r="F40" s="4"/>
      <c r="G40" s="4"/>
      <c r="H40" s="2"/>
      <c r="I40" s="2"/>
      <c r="K40" s="2"/>
    </row>
    <row r="41" spans="2:12">
      <c r="B41" s="4"/>
      <c r="C41" s="4"/>
      <c r="D41" s="4"/>
      <c r="E41" s="4"/>
      <c r="F41" s="4"/>
      <c r="G41" s="4"/>
      <c r="H41" s="2"/>
      <c r="I41" s="2"/>
    </row>
    <row r="42" spans="2:12">
      <c r="B42" s="4"/>
      <c r="C42" s="4"/>
      <c r="D42" s="4"/>
      <c r="E42" s="4"/>
      <c r="F42" s="4"/>
      <c r="G42" s="4"/>
      <c r="H42" s="2"/>
      <c r="I42" s="2"/>
    </row>
    <row r="43" spans="2:12">
      <c r="B43" s="4"/>
      <c r="C43" s="4"/>
      <c r="D43" s="4"/>
      <c r="E43" s="4"/>
      <c r="F43" s="4"/>
      <c r="G43" s="4"/>
      <c r="H43" s="2"/>
      <c r="I43" s="2"/>
    </row>
    <row r="44" spans="2:12">
      <c r="B44" s="4"/>
      <c r="C44" s="4"/>
      <c r="D44" s="4"/>
      <c r="E44" s="4"/>
      <c r="F44" s="4"/>
      <c r="G44" s="4"/>
      <c r="H44" s="2"/>
      <c r="I44" s="2"/>
    </row>
    <row r="45" spans="2:12">
      <c r="B45" s="4"/>
      <c r="C45" s="4"/>
      <c r="D45" s="4"/>
      <c r="E45" s="4"/>
      <c r="F45" s="4"/>
      <c r="G45" s="4"/>
      <c r="H45" s="2"/>
      <c r="I45" s="2"/>
      <c r="J45" s="2"/>
      <c r="K45" s="2"/>
    </row>
    <row r="46" spans="2:12">
      <c r="B46" s="4"/>
      <c r="C46" s="4"/>
      <c r="D46" s="4"/>
      <c r="E46" s="4"/>
      <c r="F46" s="4"/>
      <c r="G46" s="4"/>
      <c r="H46" s="2"/>
      <c r="I46" s="2"/>
      <c r="J46" s="2"/>
      <c r="K46" s="2"/>
    </row>
    <row r="47" spans="2:12">
      <c r="B47" s="4"/>
      <c r="C47" s="4"/>
      <c r="D47" s="4"/>
      <c r="E47" s="4"/>
      <c r="F47" s="4"/>
      <c r="G47" s="4"/>
    </row>
    <row r="48" spans="2:12">
      <c r="B48" s="4"/>
      <c r="C48" s="4"/>
      <c r="D48" s="4"/>
      <c r="E48" s="4"/>
      <c r="F48" s="4"/>
      <c r="G48" s="4"/>
    </row>
    <row r="49" spans="2:7">
      <c r="B49" s="4"/>
      <c r="C49" s="4"/>
      <c r="D49" s="4"/>
      <c r="E49" s="4"/>
      <c r="F49" s="4"/>
      <c r="G49" s="4"/>
    </row>
    <row r="50" spans="2:7">
      <c r="B50" s="4"/>
      <c r="C50" s="4"/>
      <c r="D50" s="4"/>
      <c r="E50" s="4"/>
      <c r="F50" s="4"/>
      <c r="G50" s="4"/>
    </row>
    <row r="51" spans="2:7">
      <c r="B51" s="4"/>
      <c r="C51" s="4"/>
      <c r="D51" s="4"/>
      <c r="E51" s="4"/>
      <c r="F51" s="4"/>
      <c r="G51" s="4"/>
    </row>
    <row r="52" spans="2:7">
      <c r="B52" s="4"/>
      <c r="C52" s="4"/>
      <c r="D52" s="4"/>
      <c r="E52" s="4"/>
      <c r="F52" s="4"/>
      <c r="G52" s="4"/>
    </row>
    <row r="53" spans="2:7">
      <c r="B53" s="4"/>
      <c r="C53" s="4"/>
      <c r="D53" s="4"/>
      <c r="E53" s="4"/>
      <c r="F53" s="4"/>
      <c r="G53" s="4"/>
    </row>
    <row r="54" spans="2:7">
      <c r="B54" s="4"/>
      <c r="C54" s="4"/>
      <c r="D54" s="4"/>
      <c r="E54" s="4"/>
      <c r="F54" s="4"/>
      <c r="G54" s="4"/>
    </row>
    <row r="55" spans="2:7">
      <c r="B55" s="4"/>
      <c r="C55" s="4"/>
      <c r="D55" s="4"/>
      <c r="E55" s="4"/>
      <c r="F55" s="4"/>
      <c r="G55" s="4"/>
    </row>
    <row r="56" spans="2:7">
      <c r="B56" s="4"/>
      <c r="C56" s="4"/>
      <c r="D56" s="4"/>
      <c r="E56" s="4"/>
      <c r="F56" s="4"/>
      <c r="G56" s="4"/>
    </row>
    <row r="57" spans="2:7">
      <c r="B57" s="4"/>
      <c r="C57" s="4"/>
      <c r="D57" s="4"/>
      <c r="E57" s="4"/>
      <c r="F57" s="4"/>
      <c r="G57" s="4"/>
    </row>
    <row r="58" spans="2:7">
      <c r="B58" s="4"/>
      <c r="C58" s="4"/>
      <c r="D58" s="4"/>
      <c r="E58" s="4"/>
      <c r="F58" s="4"/>
      <c r="G58" s="4"/>
    </row>
    <row r="59" spans="2:7">
      <c r="B59" s="4"/>
      <c r="C59" s="4"/>
      <c r="D59" s="4"/>
      <c r="E59" s="4"/>
      <c r="F59" s="4"/>
      <c r="G59" s="4"/>
    </row>
    <row r="60" spans="2:7">
      <c r="B60" s="4"/>
      <c r="C60" s="4"/>
      <c r="D60" s="4"/>
      <c r="E60" s="4"/>
      <c r="F60" s="4"/>
      <c r="G60" s="4"/>
    </row>
    <row r="61" spans="2:7">
      <c r="B61" s="4"/>
      <c r="C61" s="4"/>
      <c r="D61" s="4"/>
      <c r="E61" s="4"/>
      <c r="F61" s="4"/>
      <c r="G61" s="4"/>
    </row>
    <row r="62" spans="2:7">
      <c r="B62" s="4"/>
      <c r="C62" s="4"/>
      <c r="D62" s="4"/>
      <c r="E62" s="4"/>
      <c r="F62" s="4"/>
      <c r="G62" s="4"/>
    </row>
    <row r="63" spans="2:7">
      <c r="B63" s="4"/>
      <c r="C63" s="4"/>
      <c r="D63" s="4"/>
      <c r="E63" s="4"/>
      <c r="F63" s="4"/>
      <c r="G63" s="4"/>
    </row>
    <row r="64" spans="2:7">
      <c r="B64" s="4"/>
      <c r="C64" s="4"/>
      <c r="D64" s="4"/>
      <c r="E64" s="4"/>
      <c r="F64" s="4"/>
      <c r="G64" s="4"/>
    </row>
    <row r="65" spans="2:7">
      <c r="B65" s="4"/>
      <c r="C65" s="4"/>
      <c r="D65" s="4"/>
      <c r="E65" s="4"/>
      <c r="F65" s="4"/>
      <c r="G65" s="4"/>
    </row>
    <row r="66" spans="2:7">
      <c r="B66" s="4"/>
      <c r="C66" s="4"/>
      <c r="D66" s="4"/>
      <c r="E66" s="4"/>
      <c r="F66" s="4"/>
      <c r="G66" s="4"/>
    </row>
    <row r="67" spans="2:7">
      <c r="B67" s="4"/>
      <c r="C67" s="4"/>
      <c r="D67" s="4"/>
      <c r="E67" s="4"/>
      <c r="F67" s="4"/>
      <c r="G67" s="4"/>
    </row>
    <row r="68" spans="2:7">
      <c r="B68" s="4"/>
      <c r="C68" s="4"/>
      <c r="D68" s="4"/>
      <c r="E68" s="4"/>
      <c r="F68" s="4"/>
      <c r="G68" s="4"/>
    </row>
    <row r="69" spans="2:7">
      <c r="B69" s="4"/>
      <c r="C69" s="4"/>
      <c r="D69" s="4"/>
      <c r="E69" s="4"/>
      <c r="F69" s="4"/>
      <c r="G69" s="4"/>
    </row>
    <row r="70" spans="2:7">
      <c r="B70" s="4"/>
      <c r="C70" s="4"/>
      <c r="D70" s="4"/>
      <c r="E70" s="4"/>
      <c r="F70" s="4"/>
      <c r="G70" s="4"/>
    </row>
    <row r="73" spans="2:7">
      <c r="B73" s="1"/>
      <c r="C73" s="1"/>
    </row>
    <row r="74" spans="2:7">
      <c r="B74" s="1"/>
      <c r="C74" s="1"/>
    </row>
    <row r="75" spans="2:7">
      <c r="B75" s="1"/>
      <c r="C75" s="1"/>
    </row>
    <row r="76" spans="2:7">
      <c r="B76" s="1"/>
      <c r="C76" s="1"/>
    </row>
    <row r="77" spans="2:7">
      <c r="B77" s="1"/>
      <c r="C77" s="1"/>
    </row>
    <row r="78" spans="2:7">
      <c r="B78" s="1"/>
      <c r="C78" s="1"/>
    </row>
    <row r="79" spans="2:7">
      <c r="B79" s="1"/>
      <c r="C79" s="1"/>
    </row>
    <row r="80" spans="2:7">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row r="89" spans="2:3">
      <c r="B89" s="1"/>
      <c r="C89" s="1"/>
    </row>
    <row r="90" spans="2:3">
      <c r="B90" s="1"/>
      <c r="C90" s="1"/>
    </row>
    <row r="91" spans="2:3">
      <c r="B91" s="1"/>
      <c r="C91" s="1"/>
    </row>
    <row r="92" spans="2:3">
      <c r="B92" s="1"/>
      <c r="C92" s="1"/>
    </row>
    <row r="93" spans="2:3">
      <c r="B93" s="1"/>
      <c r="C93" s="1"/>
    </row>
    <row r="94" spans="2:3">
      <c r="B94" s="1"/>
      <c r="C94" s="1"/>
    </row>
    <row r="95" spans="2:3">
      <c r="B95" s="1"/>
      <c r="C95" s="1"/>
    </row>
    <row r="96" spans="2:3">
      <c r="B96" s="1"/>
      <c r="C96" s="1"/>
    </row>
    <row r="97" spans="2:28">
      <c r="B97" s="1"/>
      <c r="C97" s="1"/>
      <c r="E97" s="1"/>
    </row>
    <row r="98" spans="2:28">
      <c r="B98" s="1"/>
      <c r="C98" s="1"/>
      <c r="E98" s="1"/>
    </row>
    <row r="99" spans="2:28">
      <c r="B99" s="1"/>
      <c r="C99" s="1"/>
      <c r="E99" s="1"/>
      <c r="F99" s="1"/>
      <c r="G99" s="1"/>
      <c r="H99" s="1"/>
      <c r="I99" s="1"/>
      <c r="J99" s="1"/>
      <c r="K99" s="1"/>
      <c r="L99" s="1"/>
      <c r="M99" s="1"/>
      <c r="N99" s="1"/>
      <c r="O99" s="1"/>
      <c r="P99" s="1"/>
      <c r="Q99" s="1"/>
      <c r="R99" s="1"/>
      <c r="S99" s="1"/>
      <c r="T99" s="1"/>
      <c r="U99" s="1"/>
      <c r="V99" s="1"/>
      <c r="W99" s="1"/>
      <c r="X99" s="1"/>
      <c r="Y99" s="1"/>
      <c r="Z99" s="1"/>
      <c r="AA99" s="1"/>
      <c r="AB99" s="1"/>
    </row>
    <row r="100" spans="2:28">
      <c r="B100" s="1"/>
      <c r="C100" s="1"/>
    </row>
    <row r="101" spans="2:28">
      <c r="B101" s="1"/>
      <c r="C101" s="1"/>
    </row>
    <row r="102" spans="2:28">
      <c r="B102" s="1"/>
      <c r="C102" s="1"/>
    </row>
    <row r="103" spans="2:28">
      <c r="B103" s="1"/>
      <c r="C103" s="1"/>
    </row>
    <row r="104" spans="2:28">
      <c r="B104" s="1"/>
      <c r="C104" s="1"/>
    </row>
    <row r="105" spans="2:28">
      <c r="B105" s="1"/>
      <c r="C105" s="1"/>
    </row>
    <row r="106" spans="2:28">
      <c r="B106" s="1"/>
      <c r="C106" s="1"/>
    </row>
    <row r="107" spans="2:28">
      <c r="B107" s="1"/>
      <c r="C107" s="1"/>
    </row>
    <row r="108" spans="2:28">
      <c r="B108" s="1"/>
      <c r="C108" s="1"/>
    </row>
    <row r="109" spans="2:28">
      <c r="B109" s="1"/>
      <c r="C109" s="1"/>
    </row>
    <row r="110" spans="2:28">
      <c r="B110" s="1"/>
      <c r="C110" s="1"/>
    </row>
    <row r="111" spans="2:28">
      <c r="B111" s="1"/>
      <c r="C111" s="1"/>
    </row>
    <row r="112" spans="2:28">
      <c r="B112" s="1"/>
      <c r="C112" s="1"/>
    </row>
    <row r="113" spans="2:3">
      <c r="B113" s="1"/>
      <c r="C113" s="1"/>
    </row>
    <row r="114" spans="2:3">
      <c r="B114" s="1"/>
      <c r="C114" s="1"/>
    </row>
    <row r="115" spans="2:3">
      <c r="B115" s="1"/>
      <c r="C115" s="1"/>
    </row>
    <row r="116" spans="2:3">
      <c r="B116" s="1"/>
      <c r="C116" s="1"/>
    </row>
    <row r="117" spans="2:3">
      <c r="B117" s="1"/>
      <c r="C117" s="1"/>
    </row>
    <row r="118" spans="2:3">
      <c r="B118" s="1"/>
      <c r="C118" s="1"/>
    </row>
    <row r="119" spans="2:3">
      <c r="B119" s="1"/>
      <c r="C119" s="1"/>
    </row>
    <row r="120" spans="2:3">
      <c r="B120" s="1"/>
      <c r="C120" s="1"/>
    </row>
    <row r="121" spans="2:3">
      <c r="B121" s="1"/>
      <c r="C121" s="1"/>
    </row>
    <row r="122" spans="2:3">
      <c r="B122" s="1"/>
      <c r="C122" s="1"/>
    </row>
    <row r="123" spans="2:3">
      <c r="B123" s="1"/>
      <c r="C123" s="1"/>
    </row>
    <row r="124" spans="2:3">
      <c r="B124" s="1"/>
      <c r="C124" s="1"/>
    </row>
    <row r="125" spans="2:3">
      <c r="B125" s="1"/>
      <c r="C125" s="1"/>
    </row>
    <row r="126" spans="2:3">
      <c r="B126" s="1"/>
      <c r="C126" s="1"/>
    </row>
    <row r="127" spans="2:3">
      <c r="B127" s="1"/>
      <c r="C127" s="1"/>
    </row>
    <row r="128" spans="2:3">
      <c r="B128" s="1"/>
      <c r="C128" s="1"/>
    </row>
    <row r="129" spans="2:3">
      <c r="B129" s="1"/>
      <c r="C129" s="1"/>
    </row>
    <row r="130" spans="2:3">
      <c r="B130" s="1"/>
      <c r="C130" s="1"/>
    </row>
    <row r="131" spans="2:3">
      <c r="B131" s="1"/>
      <c r="C131" s="1"/>
    </row>
    <row r="132" spans="2:3">
      <c r="B132" s="1"/>
      <c r="C132" s="1"/>
    </row>
    <row r="133" spans="2:3">
      <c r="B133" s="1"/>
      <c r="C133" s="1"/>
    </row>
    <row r="134" spans="2:3">
      <c r="B134" s="1"/>
      <c r="C134" s="1"/>
    </row>
    <row r="135" spans="2:3">
      <c r="B135" s="1"/>
      <c r="C135" s="1"/>
    </row>
    <row r="136" spans="2:3">
      <c r="B136" s="1"/>
      <c r="C136" s="1"/>
    </row>
    <row r="137" spans="2:3">
      <c r="B137" s="1"/>
      <c r="C137" s="1"/>
    </row>
    <row r="138" spans="2:3">
      <c r="B138" s="1"/>
      <c r="C138" s="1"/>
    </row>
    <row r="139" spans="2:3">
      <c r="B139" s="1"/>
      <c r="C139" s="1"/>
    </row>
    <row r="140" spans="2:3">
      <c r="B140" s="1"/>
      <c r="C140" s="1"/>
    </row>
    <row r="141" spans="2:3">
      <c r="B141" s="1"/>
      <c r="C141" s="1"/>
    </row>
    <row r="142" spans="2:3">
      <c r="B142" s="1"/>
      <c r="C142" s="1"/>
    </row>
    <row r="143" spans="2:3">
      <c r="B143" s="1"/>
      <c r="C143" s="1"/>
    </row>
    <row r="144" spans="2:3">
      <c r="B144" s="1"/>
      <c r="C144" s="1"/>
    </row>
    <row r="145" spans="2:3">
      <c r="B145" s="1"/>
      <c r="C145" s="1"/>
    </row>
    <row r="146" spans="2:3">
      <c r="B146" s="1"/>
      <c r="C146" s="1"/>
    </row>
    <row r="147" spans="2:3">
      <c r="B147" s="1"/>
      <c r="C147" s="1"/>
    </row>
    <row r="148" spans="2:3">
      <c r="B148" s="1"/>
      <c r="C148" s="1"/>
    </row>
    <row r="149" spans="2:3">
      <c r="B149" s="1"/>
      <c r="C149" s="1"/>
    </row>
    <row r="150" spans="2:3">
      <c r="B150" s="1"/>
      <c r="C150" s="1"/>
    </row>
    <row r="151" spans="2:3">
      <c r="B151" s="1"/>
      <c r="C151" s="1"/>
    </row>
    <row r="152" spans="2:3">
      <c r="B152" s="1"/>
      <c r="C152" s="1"/>
    </row>
    <row r="153" spans="2:3">
      <c r="B153" s="1"/>
      <c r="C153" s="1"/>
    </row>
    <row r="154" spans="2:3">
      <c r="B154" s="1"/>
      <c r="C154" s="1"/>
    </row>
    <row r="155" spans="2:3">
      <c r="B155" s="1"/>
      <c r="C155" s="1"/>
    </row>
    <row r="156" spans="2:3">
      <c r="B156" s="1"/>
      <c r="C156" s="1"/>
    </row>
    <row r="157" spans="2:3">
      <c r="B157" s="1"/>
      <c r="C157" s="1"/>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2:F12"/>
  <sheetViews>
    <sheetView workbookViewId="0"/>
  </sheetViews>
  <sheetFormatPr defaultColWidth="8.85546875" defaultRowHeight="15"/>
  <cols>
    <col min="2" max="2" width="14.140625" customWidth="1"/>
    <col min="3" max="3" width="18.140625" customWidth="1"/>
  </cols>
  <sheetData>
    <row r="2" spans="1:6">
      <c r="C2" s="4"/>
      <c r="D2" s="4"/>
      <c r="E2" s="4"/>
    </row>
    <row r="6" spans="1:6">
      <c r="A6" s="4"/>
      <c r="B6" s="4"/>
      <c r="C6" s="4"/>
      <c r="D6" s="4" t="s">
        <v>303</v>
      </c>
      <c r="E6" s="4" t="s">
        <v>304</v>
      </c>
      <c r="F6" s="4" t="s">
        <v>410</v>
      </c>
    </row>
    <row r="7" spans="1:6">
      <c r="A7" s="4" t="s">
        <v>302</v>
      </c>
      <c r="B7" s="4" t="s">
        <v>644</v>
      </c>
      <c r="C7" s="4" t="str">
        <f>"DriversGams!"&amp;ADDRESS(ROW(DriversGams!A5),COLUMN(DriversGams!A5),4)</f>
        <v>DriversGams!A5</v>
      </c>
      <c r="D7" s="4">
        <v>1</v>
      </c>
      <c r="E7" s="4">
        <v>1</v>
      </c>
      <c r="F7" s="4"/>
    </row>
    <row r="8" spans="1:6">
      <c r="A8" s="4" t="s">
        <v>302</v>
      </c>
      <c r="B8" s="4" t="s">
        <v>616</v>
      </c>
      <c r="C8" s="4" t="str">
        <f>"DriversGams!"&amp;ADDRESS(ROW(DriversGams!A42),COLUMN(DriversGams!A42),4)</f>
        <v>DriversGams!A42</v>
      </c>
      <c r="D8" s="4"/>
      <c r="E8" s="4">
        <v>1</v>
      </c>
      <c r="F8" s="4"/>
    </row>
    <row r="9" spans="1:6">
      <c r="A9" s="4" t="s">
        <v>302</v>
      </c>
      <c r="B9" s="4" t="s">
        <v>645</v>
      </c>
      <c r="C9" s="4" t="str">
        <f>"DriversGams!"&amp;ADDRESS(ROW(DriversGams!A60),COLUMN(DriversGams!A60),4)</f>
        <v>DriversGams!A60</v>
      </c>
      <c r="D9" s="4">
        <v>1</v>
      </c>
      <c r="E9" s="4">
        <v>1</v>
      </c>
      <c r="F9" s="4"/>
    </row>
    <row r="10" spans="1:6">
      <c r="A10" s="4" t="s">
        <v>302</v>
      </c>
      <c r="B10" s="4" t="s">
        <v>510</v>
      </c>
      <c r="C10" s="4" t="str">
        <f>"DriversGams!"&amp;ADDRESS(ROW(DriversGams!A70),COLUMN(DriversGams!A70),4)</f>
        <v>DriversGams!A70</v>
      </c>
      <c r="D10" s="4"/>
      <c r="E10" s="4">
        <v>1</v>
      </c>
      <c r="F10" s="4"/>
    </row>
    <row r="11" spans="1:6">
      <c r="A11" s="4" t="s">
        <v>503</v>
      </c>
      <c r="B11" s="4" t="s">
        <v>504</v>
      </c>
      <c r="C11" s="4" t="str">
        <f>"DriversGams!"&amp;ADDRESS(ROW(DriversGams!A101),COLUMN(DriversGams!A101),4)</f>
        <v>DriversGams!A101</v>
      </c>
      <c r="D11" s="4">
        <v>2</v>
      </c>
      <c r="E11" s="4">
        <v>1</v>
      </c>
      <c r="F11" s="4"/>
    </row>
    <row r="12" spans="1:6">
      <c r="A12" t="s">
        <v>302</v>
      </c>
      <c r="B12" t="s">
        <v>647</v>
      </c>
      <c r="C12" s="279" t="str">
        <f>"DriversGams!"&amp;ADDRESS(ROW(DriversGams!A162),COLUMN(DriversGams!A162),4)</f>
        <v>DriversGams!A162</v>
      </c>
      <c r="E12">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A6" s="4"/>
      <c r="B6" s="4"/>
      <c r="C6" s="4"/>
      <c r="D6" s="4" t="s">
        <v>303</v>
      </c>
      <c r="E6" s="4" t="s">
        <v>304</v>
      </c>
    </row>
    <row r="7" spans="1:5">
      <c r="A7" s="4" t="s">
        <v>302</v>
      </c>
      <c r="B7" s="4" t="s">
        <v>390</v>
      </c>
      <c r="C7" s="4" t="s">
        <v>389</v>
      </c>
      <c r="D7" s="4">
        <v>1</v>
      </c>
      <c r="E7" s="4">
        <v>1</v>
      </c>
    </row>
    <row r="8" spans="1:5">
      <c r="A8" s="4"/>
      <c r="B8" s="4"/>
      <c r="C8" s="4"/>
      <c r="D8" s="4"/>
      <c r="E8" s="4"/>
    </row>
    <row r="9" spans="1:5">
      <c r="A9" s="4"/>
      <c r="B9" s="4"/>
      <c r="C9" s="4"/>
      <c r="D9" s="4"/>
      <c r="E9" s="4"/>
    </row>
    <row r="10" spans="1:5">
      <c r="A10" s="4"/>
      <c r="B10" s="4"/>
      <c r="C10" s="185"/>
      <c r="D10" s="4"/>
      <c r="E10" s="4"/>
    </row>
    <row r="11" spans="1:5">
      <c r="D11" s="4"/>
      <c r="E11" s="4"/>
    </row>
    <row r="13" spans="1:5">
      <c r="C13" s="4"/>
      <c r="D13" s="4"/>
      <c r="E13" s="4"/>
    </row>
    <row r="14" spans="1:5" s="4" customFormat="1">
      <c r="A14" s="185"/>
      <c r="B14" s="185"/>
      <c r="C14" s="35"/>
      <c r="D14" s="18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cols>
    <col min="1" max="16384" width="9.140625" style="4"/>
  </cols>
  <sheetData>
    <row r="1" spans="1:31">
      <c r="A1" t="s">
        <v>469</v>
      </c>
      <c r="D1" s="4">
        <v>2002</v>
      </c>
      <c r="E1" s="4">
        <v>2003</v>
      </c>
      <c r="F1" s="4">
        <v>2004</v>
      </c>
      <c r="G1" s="4">
        <v>2005</v>
      </c>
      <c r="H1" s="4">
        <v>2006</v>
      </c>
      <c r="I1" s="4">
        <v>2007</v>
      </c>
      <c r="J1" s="4">
        <v>2008</v>
      </c>
      <c r="K1" s="4">
        <v>2009</v>
      </c>
      <c r="L1" s="4">
        <v>2010</v>
      </c>
      <c r="M1" s="4">
        <v>2011</v>
      </c>
      <c r="N1" s="4">
        <v>2012</v>
      </c>
      <c r="O1" s="4">
        <v>2013</v>
      </c>
      <c r="P1" s="4">
        <v>2014</v>
      </c>
      <c r="Q1" s="4">
        <v>2015</v>
      </c>
      <c r="R1" s="4">
        <v>2016</v>
      </c>
      <c r="S1" s="4">
        <v>2017</v>
      </c>
    </row>
    <row r="2" spans="1:31">
      <c r="B2" s="4" t="s">
        <v>450</v>
      </c>
      <c r="C2" s="4" t="s">
        <v>451</v>
      </c>
      <c r="D2" s="8">
        <f>SUM([1]Sheet1!D6,[1]Sheet1!D40,[1]Sheet1!D74,[1]Sheet1!D108)</f>
        <v>2352836.9199662828</v>
      </c>
      <c r="E2" s="8">
        <f>SUM([1]Sheet1!E6,[1]Sheet1!E40,[1]Sheet1!E74,[1]Sheet1!E108)</f>
        <v>2353712.1472010948</v>
      </c>
      <c r="F2" s="8">
        <f>SUM([1]Sheet1!F6,[1]Sheet1!F40,[1]Sheet1!F74,[1]Sheet1!F108)</f>
        <v>2384676.8126227115</v>
      </c>
      <c r="G2" s="8">
        <f>SUM([1]Sheet1!G6,[1]Sheet1!G40,[1]Sheet1!G74,[1]Sheet1!G108)</f>
        <v>2433637.7196340291</v>
      </c>
      <c r="H2" s="8">
        <f>SUM([1]Sheet1!H6,[1]Sheet1!H40,[1]Sheet1!H74,[1]Sheet1!H108)</f>
        <v>2514444.1056430414</v>
      </c>
      <c r="I2" s="8">
        <f>SUM([1]Sheet1!I6,[1]Sheet1!I40,[1]Sheet1!I74,[1]Sheet1!I108)</f>
        <v>2615310.2237567683</v>
      </c>
      <c r="J2" s="8">
        <f>SUM([1]Sheet1!J6,[1]Sheet1!J40,[1]Sheet1!J74,[1]Sheet1!J108)</f>
        <v>2720677.3481308571</v>
      </c>
      <c r="K2" s="8">
        <f>SUM([1]Sheet1!K6,[1]Sheet1!K40,[1]Sheet1!K74,[1]Sheet1!K108)</f>
        <v>2798583.1997686187</v>
      </c>
      <c r="L2" s="8">
        <f>SUM([1]Sheet1!L6,[1]Sheet1!L40,[1]Sheet1!L74,[1]Sheet1!L108)</f>
        <v>2854890.3931614971</v>
      </c>
      <c r="M2" s="8">
        <f>SUM([1]Sheet1!M6,[1]Sheet1!M40,[1]Sheet1!M74,[1]Sheet1!M108)</f>
        <v>2890850.7370394776</v>
      </c>
      <c r="N2" s="8">
        <f>SUM([1]Sheet1!N6,[1]Sheet1!N40,[1]Sheet1!N74,[1]Sheet1!N108)</f>
        <v>2910205.4064366445</v>
      </c>
      <c r="O2" s="8">
        <f>SUM([1]Sheet1!O6,[1]Sheet1!O40,[1]Sheet1!O74,[1]Sheet1!O108)</f>
        <v>2922618.9342035525</v>
      </c>
      <c r="P2" s="8">
        <f>SUM([1]Sheet1!P6,[1]Sheet1!P40,[1]Sheet1!P74,[1]Sheet1!P108)</f>
        <v>2933005.3149803439</v>
      </c>
      <c r="Q2" s="8">
        <f>SUM([1]Sheet1!Q6,[1]Sheet1!Q40,[1]Sheet1!Q74,[1]Sheet1!Q108)</f>
        <v>2941344.4336485704</v>
      </c>
      <c r="R2" s="8">
        <f>SUM([1]Sheet1!R6,[1]Sheet1!R40,[1]Sheet1!R74,[1]Sheet1!R108)</f>
        <v>2946654.5180383818</v>
      </c>
      <c r="S2" s="8">
        <f>SUM([1]Sheet1!S6,[1]Sheet1!S40,[1]Sheet1!S74,[1]Sheet1!S108)</f>
        <v>2946311.8348281723</v>
      </c>
      <c r="T2" s="8"/>
      <c r="U2" s="8"/>
      <c r="V2" s="8"/>
      <c r="W2" s="8"/>
      <c r="X2" s="8"/>
      <c r="Y2" s="8"/>
      <c r="Z2" s="8"/>
      <c r="AA2" s="8"/>
      <c r="AB2" s="8"/>
      <c r="AC2" s="8"/>
      <c r="AD2" s="8"/>
      <c r="AE2" s="8"/>
    </row>
    <row r="3" spans="1:31">
      <c r="B3" s="4" t="s">
        <v>450</v>
      </c>
      <c r="C3" s="4" t="s">
        <v>452</v>
      </c>
      <c r="D3" s="8">
        <f>SUM([1]Sheet1!D7,[1]Sheet1!D41,[1]Sheet1!D75,[1]Sheet1!D109)</f>
        <v>2489008.6259477925</v>
      </c>
      <c r="E3" s="8">
        <f>SUM([1]Sheet1!E7,[1]Sheet1!E41,[1]Sheet1!E75,[1]Sheet1!E109)</f>
        <v>2445518.8424010845</v>
      </c>
      <c r="F3" s="8">
        <f>SUM([1]Sheet1!F7,[1]Sheet1!F41,[1]Sheet1!F75,[1]Sheet1!F109)</f>
        <v>2407557.7983711092</v>
      </c>
      <c r="G3" s="8">
        <f>SUM([1]Sheet1!G7,[1]Sheet1!G41,[1]Sheet1!G75,[1]Sheet1!G109)</f>
        <v>2378852.9311973583</v>
      </c>
      <c r="H3" s="8">
        <f>SUM([1]Sheet1!H7,[1]Sheet1!H41,[1]Sheet1!H75,[1]Sheet1!H109)</f>
        <v>2346392.7334666867</v>
      </c>
      <c r="I3" s="8">
        <f>SUM([1]Sheet1!I7,[1]Sheet1!I41,[1]Sheet1!I75,[1]Sheet1!I109)</f>
        <v>2326969.4787796293</v>
      </c>
      <c r="J3" s="8">
        <f>SUM([1]Sheet1!J7,[1]Sheet1!J41,[1]Sheet1!J75,[1]Sheet1!J109)</f>
        <v>2320049.5271344036</v>
      </c>
      <c r="K3" s="8">
        <f>SUM([1]Sheet1!K7,[1]Sheet1!K41,[1]Sheet1!K75,[1]Sheet1!K109)</f>
        <v>2344311.0089102122</v>
      </c>
      <c r="L3" s="8">
        <f>SUM([1]Sheet1!L7,[1]Sheet1!L41,[1]Sheet1!L75,[1]Sheet1!L109)</f>
        <v>2387315.172413771</v>
      </c>
      <c r="M3" s="8">
        <f>SUM([1]Sheet1!M7,[1]Sheet1!M41,[1]Sheet1!M75,[1]Sheet1!M109)</f>
        <v>2463070.8530652933</v>
      </c>
      <c r="N3" s="8">
        <f>SUM([1]Sheet1!N7,[1]Sheet1!N41,[1]Sheet1!N75,[1]Sheet1!N109)</f>
        <v>2561964.5599117558</v>
      </c>
      <c r="O3" s="8">
        <f>SUM([1]Sheet1!O7,[1]Sheet1!O41,[1]Sheet1!O75,[1]Sheet1!O109)</f>
        <v>2667630.8647058471</v>
      </c>
      <c r="P3" s="8">
        <f>SUM([1]Sheet1!P7,[1]Sheet1!P41,[1]Sheet1!P75,[1]Sheet1!P109)</f>
        <v>2751216.0921220072</v>
      </c>
      <c r="Q3" s="8">
        <f>SUM([1]Sheet1!Q7,[1]Sheet1!Q41,[1]Sheet1!Q75,[1]Sheet1!Q109)</f>
        <v>2815988.9403248057</v>
      </c>
      <c r="R3" s="8">
        <f>SUM([1]Sheet1!R7,[1]Sheet1!R41,[1]Sheet1!R75,[1]Sheet1!R109)</f>
        <v>2860294.571644709</v>
      </c>
      <c r="S3" s="8">
        <f>SUM([1]Sheet1!S7,[1]Sheet1!S41,[1]Sheet1!S75,[1]Sheet1!S109)</f>
        <v>2888924.8204291668</v>
      </c>
      <c r="T3" s="8"/>
      <c r="U3" s="8"/>
      <c r="V3" s="8"/>
      <c r="W3" s="8"/>
      <c r="X3" s="8"/>
      <c r="Y3" s="8"/>
      <c r="Z3" s="8"/>
      <c r="AA3" s="8"/>
      <c r="AB3" s="8"/>
      <c r="AC3" s="8"/>
      <c r="AD3" s="8"/>
      <c r="AE3" s="8"/>
    </row>
    <row r="4" spans="1:31">
      <c r="B4" s="4" t="s">
        <v>450</v>
      </c>
      <c r="C4" s="4" t="s">
        <v>453</v>
      </c>
      <c r="D4" s="8">
        <f>SUM([1]Sheet1!D8,[1]Sheet1!D42,[1]Sheet1!D76,[1]Sheet1!D110)</f>
        <v>2644706.3713786211</v>
      </c>
      <c r="E4" s="8">
        <f>SUM([1]Sheet1!E8,[1]Sheet1!E42,[1]Sheet1!E76,[1]Sheet1!E110)</f>
        <v>2627413.1238008388</v>
      </c>
      <c r="F4" s="8">
        <f>SUM([1]Sheet1!F8,[1]Sheet1!F42,[1]Sheet1!F76,[1]Sheet1!F110)</f>
        <v>2600129.1513205883</v>
      </c>
      <c r="G4" s="8">
        <f>SUM([1]Sheet1!G8,[1]Sheet1!G42,[1]Sheet1!G76,[1]Sheet1!G110)</f>
        <v>2569707.4489742396</v>
      </c>
      <c r="H4" s="8">
        <f>SUM([1]Sheet1!H8,[1]Sheet1!H42,[1]Sheet1!H76,[1]Sheet1!H110)</f>
        <v>2537138.0284069767</v>
      </c>
      <c r="I4" s="8">
        <f>SUM([1]Sheet1!I8,[1]Sheet1!I42,[1]Sheet1!I76,[1]Sheet1!I110)</f>
        <v>2489918.5807916909</v>
      </c>
      <c r="J4" s="8">
        <f>SUM([1]Sheet1!J8,[1]Sheet1!J42,[1]Sheet1!J76,[1]Sheet1!J110)</f>
        <v>2436378.8484816272</v>
      </c>
      <c r="K4" s="8">
        <f>SUM([1]Sheet1!K8,[1]Sheet1!K42,[1]Sheet1!K76,[1]Sheet1!K110)</f>
        <v>2391383.9014847511</v>
      </c>
      <c r="L4" s="8">
        <f>SUM([1]Sheet1!L8,[1]Sheet1!L42,[1]Sheet1!L76,[1]Sheet1!L110)</f>
        <v>2356825.7450504326</v>
      </c>
      <c r="M4" s="8">
        <f>SUM([1]Sheet1!M8,[1]Sheet1!M42,[1]Sheet1!M76,[1]Sheet1!M110)</f>
        <v>2320133.9461123575</v>
      </c>
      <c r="N4" s="8">
        <f>SUM([1]Sheet1!N8,[1]Sheet1!N42,[1]Sheet1!N76,[1]Sheet1!N110)</f>
        <v>2299533.3290045904</v>
      </c>
      <c r="O4" s="8">
        <f>SUM([1]Sheet1!O8,[1]Sheet1!O42,[1]Sheet1!O76,[1]Sheet1!O110)</f>
        <v>2293085.5217066747</v>
      </c>
      <c r="P4" s="8">
        <f>SUM([1]Sheet1!P8,[1]Sheet1!P42,[1]Sheet1!P76,[1]Sheet1!P110)</f>
        <v>2317907.3337784777</v>
      </c>
      <c r="Q4" s="8">
        <f>SUM([1]Sheet1!Q8,[1]Sheet1!Q42,[1]Sheet1!Q76,[1]Sheet1!Q110)</f>
        <v>2363491.5172683401</v>
      </c>
      <c r="R4" s="8">
        <f>SUM([1]Sheet1!R8,[1]Sheet1!R42,[1]Sheet1!R76,[1]Sheet1!R110)</f>
        <v>2443105.5012677759</v>
      </c>
      <c r="S4" s="8">
        <f>SUM([1]Sheet1!S8,[1]Sheet1!S42,[1]Sheet1!S76,[1]Sheet1!S110)</f>
        <v>2547259.7489749729</v>
      </c>
      <c r="T4" s="8"/>
      <c r="U4" s="8"/>
      <c r="V4" s="8"/>
      <c r="W4" s="8"/>
      <c r="X4" s="8"/>
      <c r="Y4" s="8"/>
      <c r="Z4" s="8"/>
      <c r="AA4" s="8"/>
      <c r="AB4" s="8"/>
      <c r="AC4" s="8"/>
      <c r="AD4" s="8"/>
      <c r="AE4" s="8"/>
    </row>
    <row r="5" spans="1:31">
      <c r="B5" s="4" t="s">
        <v>450</v>
      </c>
      <c r="C5" s="4" t="s">
        <v>454</v>
      </c>
      <c r="D5" s="8">
        <f>SUM([1]Sheet1!D9,[1]Sheet1!D43,[1]Sheet1!D77,[1]Sheet1!D111)</f>
        <v>2520302.2649507183</v>
      </c>
      <c r="E5" s="8">
        <f>SUM([1]Sheet1!E9,[1]Sheet1!E43,[1]Sheet1!E77,[1]Sheet1!E111)</f>
        <v>2578643.9096090728</v>
      </c>
      <c r="F5" s="8">
        <f>SUM([1]Sheet1!F9,[1]Sheet1!F43,[1]Sheet1!F77,[1]Sheet1!F111)</f>
        <v>2626714.2079775617</v>
      </c>
      <c r="G5" s="8">
        <f>SUM([1]Sheet1!G9,[1]Sheet1!G43,[1]Sheet1!G77,[1]Sheet1!G111)</f>
        <v>2659148.5764635433</v>
      </c>
      <c r="H5" s="8">
        <f>SUM([1]Sheet1!H9,[1]Sheet1!H43,[1]Sheet1!H77,[1]Sheet1!H111)</f>
        <v>2662113.9952124576</v>
      </c>
      <c r="I5" s="8">
        <f>SUM([1]Sheet1!I9,[1]Sheet1!I43,[1]Sheet1!I77,[1]Sheet1!I111)</f>
        <v>2648575.0496015372</v>
      </c>
      <c r="J5" s="8">
        <f>SUM([1]Sheet1!J9,[1]Sheet1!J43,[1]Sheet1!J77,[1]Sheet1!J111)</f>
        <v>2620916.1811288791</v>
      </c>
      <c r="K5" s="8">
        <f>SUM([1]Sheet1!K9,[1]Sheet1!K43,[1]Sheet1!K77,[1]Sheet1!K111)</f>
        <v>2586017.46730982</v>
      </c>
      <c r="L5" s="8">
        <f>SUM([1]Sheet1!L9,[1]Sheet1!L43,[1]Sheet1!L77,[1]Sheet1!L111)</f>
        <v>2548931.6491507529</v>
      </c>
      <c r="M5" s="8">
        <f>SUM([1]Sheet1!M9,[1]Sheet1!M43,[1]Sheet1!M77,[1]Sheet1!M111)</f>
        <v>2511094.6131779528</v>
      </c>
      <c r="N5" s="8">
        <f>SUM([1]Sheet1!N9,[1]Sheet1!N43,[1]Sheet1!N77,[1]Sheet1!N111)</f>
        <v>2462275.0973497131</v>
      </c>
      <c r="O5" s="8">
        <f>SUM([1]Sheet1!O9,[1]Sheet1!O43,[1]Sheet1!O77,[1]Sheet1!O111)</f>
        <v>2409255.3952726889</v>
      </c>
      <c r="P5" s="8">
        <f>SUM([1]Sheet1!P9,[1]Sheet1!P43,[1]Sheet1!P77,[1]Sheet1!P111)</f>
        <v>2365330.5357868858</v>
      </c>
      <c r="Q5" s="8">
        <f>SUM([1]Sheet1!Q9,[1]Sheet1!Q43,[1]Sheet1!Q77,[1]Sheet1!Q111)</f>
        <v>2334090.5947119896</v>
      </c>
      <c r="R5" s="8">
        <f>SUM([1]Sheet1!R9,[1]Sheet1!R43,[1]Sheet1!R77,[1]Sheet1!R111)</f>
        <v>2302452.5545707764</v>
      </c>
      <c r="S5" s="8">
        <f>SUM([1]Sheet1!S9,[1]Sheet1!S43,[1]Sheet1!S77,[1]Sheet1!S111)</f>
        <v>2287717.3479764746</v>
      </c>
      <c r="T5" s="8"/>
      <c r="U5" s="8"/>
      <c r="V5" s="8"/>
      <c r="W5" s="8"/>
      <c r="X5" s="8"/>
      <c r="Y5" s="8"/>
      <c r="Z5" s="8"/>
      <c r="AA5" s="8"/>
      <c r="AB5" s="8"/>
      <c r="AC5" s="8"/>
      <c r="AD5" s="8"/>
      <c r="AE5" s="8"/>
    </row>
    <row r="6" spans="1:31">
      <c r="B6" s="4" t="s">
        <v>450</v>
      </c>
      <c r="C6" s="4" t="s">
        <v>455</v>
      </c>
      <c r="D6" s="8">
        <f>SUM([1]Sheet1!D10,[1]Sheet1!D44,[1]Sheet1!D78,[1]Sheet1!D112)</f>
        <v>2139226.4998723585</v>
      </c>
      <c r="E6" s="8">
        <f>SUM([1]Sheet1!E10,[1]Sheet1!E44,[1]Sheet1!E78,[1]Sheet1!E112)</f>
        <v>2237100.0878210124</v>
      </c>
      <c r="F6" s="8">
        <f>SUM([1]Sheet1!F10,[1]Sheet1!F44,[1]Sheet1!F78,[1]Sheet1!F112)</f>
        <v>2336213.1319817533</v>
      </c>
      <c r="G6" s="8">
        <f>SUM([1]Sheet1!G10,[1]Sheet1!G44,[1]Sheet1!G78,[1]Sheet1!G112)</f>
        <v>2421903.5505309235</v>
      </c>
      <c r="H6" s="8">
        <f>SUM([1]Sheet1!H10,[1]Sheet1!H44,[1]Sheet1!H78,[1]Sheet1!H112)</f>
        <v>2493798.3755482044</v>
      </c>
      <c r="I6" s="8">
        <f>SUM([1]Sheet1!I10,[1]Sheet1!I44,[1]Sheet1!I78,[1]Sheet1!I112)</f>
        <v>2550927.7694841018</v>
      </c>
      <c r="J6" s="8">
        <f>SUM([1]Sheet1!J10,[1]Sheet1!J44,[1]Sheet1!J78,[1]Sheet1!J112)</f>
        <v>2603531.3506938689</v>
      </c>
      <c r="K6" s="8">
        <f>SUM([1]Sheet1!K10,[1]Sheet1!K44,[1]Sheet1!K78,[1]Sheet1!K112)</f>
        <v>2647505.7927609538</v>
      </c>
      <c r="L6" s="8">
        <f>SUM([1]Sheet1!L10,[1]Sheet1!L44,[1]Sheet1!L78,[1]Sheet1!L112)</f>
        <v>2675993.2338640913</v>
      </c>
      <c r="M6" s="8">
        <f>SUM([1]Sheet1!M10,[1]Sheet1!M44,[1]Sheet1!M78,[1]Sheet1!M112)</f>
        <v>2676236.0209871251</v>
      </c>
      <c r="N6" s="8">
        <f>SUM([1]Sheet1!N10,[1]Sheet1!N44,[1]Sheet1!N78,[1]Sheet1!N112)</f>
        <v>2663334.0612222995</v>
      </c>
      <c r="O6" s="8">
        <f>SUM([1]Sheet1!O10,[1]Sheet1!O44,[1]Sheet1!O78,[1]Sheet1!O112)</f>
        <v>2638625.0314984289</v>
      </c>
      <c r="P6" s="8">
        <f>SUM([1]Sheet1!P10,[1]Sheet1!P44,[1]Sheet1!P78,[1]Sheet1!P112)</f>
        <v>2607210.1034408649</v>
      </c>
      <c r="Q6" s="8">
        <f>SUM([1]Sheet1!Q10,[1]Sheet1!Q44,[1]Sheet1!Q78,[1]Sheet1!Q112)</f>
        <v>2575713.6433947068</v>
      </c>
      <c r="R6" s="8">
        <f>SUM([1]Sheet1!R10,[1]Sheet1!R44,[1]Sheet1!R78,[1]Sheet1!R112)</f>
        <v>2544954.7948525343</v>
      </c>
      <c r="S6" s="8">
        <f>SUM([1]Sheet1!S10,[1]Sheet1!S44,[1]Sheet1!S78,[1]Sheet1!S112)</f>
        <v>2504333.5900054434</v>
      </c>
      <c r="T6" s="8"/>
      <c r="U6" s="8"/>
      <c r="V6" s="8"/>
      <c r="W6" s="8"/>
      <c r="X6" s="8"/>
      <c r="Y6" s="8"/>
      <c r="Z6" s="8"/>
      <c r="AA6" s="8"/>
      <c r="AB6" s="8"/>
      <c r="AC6" s="8"/>
      <c r="AD6" s="8"/>
      <c r="AE6" s="8"/>
    </row>
    <row r="7" spans="1:31">
      <c r="B7" s="4" t="s">
        <v>450</v>
      </c>
      <c r="C7" s="4" t="s">
        <v>456</v>
      </c>
      <c r="D7" s="8">
        <f>SUM([1]Sheet1!D11,[1]Sheet1!D45,[1]Sheet1!D79,[1]Sheet1!D113)</f>
        <v>1911823.4719063109</v>
      </c>
      <c r="E7" s="8">
        <f>SUM([1]Sheet1!E11,[1]Sheet1!E45,[1]Sheet1!E79,[1]Sheet1!E113)</f>
        <v>1933000.6591651281</v>
      </c>
      <c r="F7" s="8">
        <f>SUM([1]Sheet1!F11,[1]Sheet1!F45,[1]Sheet1!F79,[1]Sheet1!F113)</f>
        <v>1959689.7533296479</v>
      </c>
      <c r="G7" s="8">
        <f>SUM([1]Sheet1!G11,[1]Sheet1!G45,[1]Sheet1!G79,[1]Sheet1!G113)</f>
        <v>2005165.2932317827</v>
      </c>
      <c r="H7" s="8">
        <f>SUM([1]Sheet1!H11,[1]Sheet1!H45,[1]Sheet1!H79,[1]Sheet1!H113)</f>
        <v>2083197.2006844014</v>
      </c>
      <c r="I7" s="8">
        <f>SUM([1]Sheet1!I11,[1]Sheet1!I45,[1]Sheet1!I79,[1]Sheet1!I113)</f>
        <v>2176475.0223029526</v>
      </c>
      <c r="J7" s="8">
        <f>SUM([1]Sheet1!J11,[1]Sheet1!J45,[1]Sheet1!J79,[1]Sheet1!J113)</f>
        <v>2276176.6188803492</v>
      </c>
      <c r="K7" s="8">
        <f>SUM([1]Sheet1!K11,[1]Sheet1!K45,[1]Sheet1!K79,[1]Sheet1!K113)</f>
        <v>2376368.0106561426</v>
      </c>
      <c r="L7" s="8">
        <f>SUM([1]Sheet1!L11,[1]Sheet1!L45,[1]Sheet1!L79,[1]Sheet1!L113)</f>
        <v>2462761.1845392389</v>
      </c>
      <c r="M7" s="8">
        <f>SUM([1]Sheet1!M11,[1]Sheet1!M45,[1]Sheet1!M79,[1]Sheet1!M113)</f>
        <v>2536137.9586244677</v>
      </c>
      <c r="N7" s="8">
        <f>SUM([1]Sheet1!N11,[1]Sheet1!N45,[1]Sheet1!N79,[1]Sheet1!N113)</f>
        <v>2597156.9569996092</v>
      </c>
      <c r="O7" s="8">
        <f>SUM([1]Sheet1!O11,[1]Sheet1!O45,[1]Sheet1!O79,[1]Sheet1!O113)</f>
        <v>2655186.4618563633</v>
      </c>
      <c r="P7" s="8">
        <f>SUM([1]Sheet1!P11,[1]Sheet1!P45,[1]Sheet1!P79,[1]Sheet1!P113)</f>
        <v>2704802.5767264795</v>
      </c>
      <c r="Q7" s="8">
        <f>SUM([1]Sheet1!Q11,[1]Sheet1!Q45,[1]Sheet1!Q79,[1]Sheet1!Q113)</f>
        <v>2741254.0315982052</v>
      </c>
      <c r="R7" s="8">
        <f>SUM([1]Sheet1!R11,[1]Sheet1!R45,[1]Sheet1!R79,[1]Sheet1!R113)</f>
        <v>2752096.2186051058</v>
      </c>
      <c r="S7" s="8">
        <f>SUM([1]Sheet1!S11,[1]Sheet1!S45,[1]Sheet1!S79,[1]Sheet1!S113)</f>
        <v>2751292.8489637831</v>
      </c>
      <c r="T7" s="8"/>
      <c r="U7" s="8"/>
      <c r="V7" s="8"/>
      <c r="W7" s="8"/>
      <c r="X7" s="8"/>
      <c r="Y7" s="8"/>
      <c r="Z7" s="8"/>
      <c r="AA7" s="8"/>
      <c r="AB7" s="8"/>
      <c r="AC7" s="8"/>
      <c r="AD7" s="8"/>
      <c r="AE7" s="8"/>
    </row>
    <row r="8" spans="1:31">
      <c r="B8" s="4" t="s">
        <v>450</v>
      </c>
      <c r="C8" s="4" t="s">
        <v>457</v>
      </c>
      <c r="D8" s="8">
        <f>SUM([1]Sheet1!D12,[1]Sheet1!D46,[1]Sheet1!D80,[1]Sheet1!D114)</f>
        <v>1653732.8319631496</v>
      </c>
      <c r="E8" s="8">
        <f>SUM([1]Sheet1!E12,[1]Sheet1!E46,[1]Sheet1!E80,[1]Sheet1!E114)</f>
        <v>1716650.7033458415</v>
      </c>
      <c r="F8" s="8">
        <f>SUM([1]Sheet1!F12,[1]Sheet1!F46,[1]Sheet1!F80,[1]Sheet1!F114)</f>
        <v>1770963.6069462765</v>
      </c>
      <c r="G8" s="8">
        <f>SUM([1]Sheet1!G12,[1]Sheet1!G46,[1]Sheet1!G80,[1]Sheet1!G114)</f>
        <v>1819332.2828332386</v>
      </c>
      <c r="H8" s="8">
        <f>SUM([1]Sheet1!H12,[1]Sheet1!H46,[1]Sheet1!H80,[1]Sheet1!H114)</f>
        <v>1851042.2338490284</v>
      </c>
      <c r="I8" s="8">
        <f>SUM([1]Sheet1!I12,[1]Sheet1!I46,[1]Sheet1!I80,[1]Sheet1!I114)</f>
        <v>1874249.5671767336</v>
      </c>
      <c r="J8" s="8">
        <f>SUM([1]Sheet1!J12,[1]Sheet1!J46,[1]Sheet1!J80,[1]Sheet1!J114)</f>
        <v>1900679.4079160802</v>
      </c>
      <c r="K8" s="8">
        <f>SUM([1]Sheet1!K12,[1]Sheet1!K46,[1]Sheet1!K80,[1]Sheet1!K114)</f>
        <v>1934726.8962213343</v>
      </c>
      <c r="L8" s="8">
        <f>SUM([1]Sheet1!L12,[1]Sheet1!L46,[1]Sheet1!L80,[1]Sheet1!L114)</f>
        <v>1987808.4123348435</v>
      </c>
      <c r="M8" s="8">
        <f>SUM([1]Sheet1!M12,[1]Sheet1!M46,[1]Sheet1!M80,[1]Sheet1!M114)</f>
        <v>2072798.4034380994</v>
      </c>
      <c r="N8" s="8">
        <f>SUM([1]Sheet1!N12,[1]Sheet1!N46,[1]Sheet1!N80,[1]Sheet1!N114)</f>
        <v>2172623.3656895957</v>
      </c>
      <c r="O8" s="8">
        <f>SUM([1]Sheet1!O12,[1]Sheet1!O46,[1]Sheet1!O80,[1]Sheet1!O114)</f>
        <v>2278744.0749280108</v>
      </c>
      <c r="P8" s="8">
        <f>SUM([1]Sheet1!P12,[1]Sheet1!P46,[1]Sheet1!P80,[1]Sheet1!P114)</f>
        <v>2385369.0355849899</v>
      </c>
      <c r="Q8" s="8">
        <f>SUM([1]Sheet1!Q12,[1]Sheet1!Q46,[1]Sheet1!Q80,[1]Sheet1!Q114)</f>
        <v>2479554.3287178334</v>
      </c>
      <c r="R8" s="8">
        <f>SUM([1]Sheet1!R12,[1]Sheet1!R46,[1]Sheet1!R80,[1]Sheet1!R114)</f>
        <v>2562619.3937079408</v>
      </c>
      <c r="S8" s="8">
        <f>SUM([1]Sheet1!S12,[1]Sheet1!S46,[1]Sheet1!S80,[1]Sheet1!S114)</f>
        <v>2635256.503575874</v>
      </c>
      <c r="T8" s="8"/>
      <c r="U8" s="8"/>
      <c r="V8" s="8"/>
      <c r="W8" s="8"/>
      <c r="X8" s="8"/>
      <c r="Y8" s="8"/>
      <c r="Z8" s="8"/>
      <c r="AA8" s="8"/>
      <c r="AB8" s="8"/>
      <c r="AC8" s="8"/>
      <c r="AD8" s="8"/>
      <c r="AE8" s="8"/>
    </row>
    <row r="9" spans="1:31">
      <c r="B9" s="4" t="s">
        <v>450</v>
      </c>
      <c r="C9" s="4" t="s">
        <v>458</v>
      </c>
      <c r="D9" s="8">
        <f>SUM([1]Sheet1!D13,[1]Sheet1!D47,[1]Sheet1!D81,[1]Sheet1!D115)</f>
        <v>1414373.0044965709</v>
      </c>
      <c r="E9" s="8">
        <f>SUM([1]Sheet1!E13,[1]Sheet1!E47,[1]Sheet1!E81,[1]Sheet1!E115)</f>
        <v>1420869.2072946504</v>
      </c>
      <c r="F9" s="8">
        <f>SUM([1]Sheet1!F13,[1]Sheet1!F47,[1]Sheet1!F81,[1]Sheet1!F115)</f>
        <v>1431903.9888607357</v>
      </c>
      <c r="G9" s="8">
        <f>SUM([1]Sheet1!G13,[1]Sheet1!G47,[1]Sheet1!G81,[1]Sheet1!G115)</f>
        <v>1452433.2463546959</v>
      </c>
      <c r="H9" s="8">
        <f>SUM([1]Sheet1!H13,[1]Sheet1!H47,[1]Sheet1!H81,[1]Sheet1!H115)</f>
        <v>1491473.1043499697</v>
      </c>
      <c r="I9" s="8">
        <f>SUM([1]Sheet1!I13,[1]Sheet1!I47,[1]Sheet1!I81,[1]Sheet1!I115)</f>
        <v>1546519.7175218647</v>
      </c>
      <c r="J9" s="8">
        <f>SUM([1]Sheet1!J13,[1]Sheet1!J47,[1]Sheet1!J81,[1]Sheet1!J115)</f>
        <v>1604720.7955164511</v>
      </c>
      <c r="K9" s="8">
        <f>SUM([1]Sheet1!K13,[1]Sheet1!K47,[1]Sheet1!K81,[1]Sheet1!K115)</f>
        <v>1659282.8079045014</v>
      </c>
      <c r="L9" s="8">
        <f>SUM([1]Sheet1!L13,[1]Sheet1!L47,[1]Sheet1!L81,[1]Sheet1!L115)</f>
        <v>1713707.1156736603</v>
      </c>
      <c r="M9" s="8">
        <f>SUM([1]Sheet1!M13,[1]Sheet1!M47,[1]Sheet1!M81,[1]Sheet1!M115)</f>
        <v>1757109.7869231149</v>
      </c>
      <c r="N9" s="8">
        <f>SUM([1]Sheet1!N13,[1]Sheet1!N47,[1]Sheet1!N81,[1]Sheet1!N115)</f>
        <v>1794001.2462062663</v>
      </c>
      <c r="O9" s="8">
        <f>SUM([1]Sheet1!O13,[1]Sheet1!O47,[1]Sheet1!O81,[1]Sheet1!O115)</f>
        <v>1833509.1229587761</v>
      </c>
      <c r="P9" s="8">
        <f>SUM([1]Sheet1!P13,[1]Sheet1!P47,[1]Sheet1!P81,[1]Sheet1!P115)</f>
        <v>1878935.6546512195</v>
      </c>
      <c r="Q9" s="8">
        <f>SUM([1]Sheet1!Q13,[1]Sheet1!Q47,[1]Sheet1!Q81,[1]Sheet1!Q115)</f>
        <v>1941216.8112788366</v>
      </c>
      <c r="R9" s="8">
        <f>SUM([1]Sheet1!R13,[1]Sheet1!R47,[1]Sheet1!R81,[1]Sheet1!R115)</f>
        <v>2034400.3470311831</v>
      </c>
      <c r="S9" s="8">
        <f>SUM([1]Sheet1!S13,[1]Sheet1!S47,[1]Sheet1!S81,[1]Sheet1!S115)</f>
        <v>2142779.8164657601</v>
      </c>
      <c r="T9" s="8"/>
      <c r="U9" s="8"/>
      <c r="V9" s="8"/>
      <c r="W9" s="8"/>
      <c r="X9" s="8"/>
      <c r="Y9" s="8"/>
      <c r="Z9" s="8"/>
      <c r="AA9" s="8"/>
      <c r="AB9" s="8"/>
      <c r="AC9" s="8"/>
      <c r="AD9" s="8"/>
      <c r="AE9" s="8"/>
    </row>
    <row r="10" spans="1:31">
      <c r="B10" s="4" t="s">
        <v>450</v>
      </c>
      <c r="C10" s="4" t="s">
        <v>459</v>
      </c>
      <c r="D10" s="8">
        <f>SUM([1]Sheet1!D14,[1]Sheet1!D48,[1]Sheet1!D82,[1]Sheet1!D116)</f>
        <v>1240313.9526767186</v>
      </c>
      <c r="E10" s="8">
        <f>SUM([1]Sheet1!E14,[1]Sheet1!E48,[1]Sheet1!E82,[1]Sheet1!E116)</f>
        <v>1259516.7114286968</v>
      </c>
      <c r="F10" s="8">
        <f>SUM([1]Sheet1!F14,[1]Sheet1!F48,[1]Sheet1!F82,[1]Sheet1!F116)</f>
        <v>1273228.2464257113</v>
      </c>
      <c r="G10" s="8">
        <f>SUM([1]Sheet1!G14,[1]Sheet1!G48,[1]Sheet1!G82,[1]Sheet1!G116)</f>
        <v>1281361.3173492253</v>
      </c>
      <c r="H10" s="8">
        <f>SUM([1]Sheet1!H14,[1]Sheet1!H48,[1]Sheet1!H82,[1]Sheet1!H116)</f>
        <v>1283615.2585819953</v>
      </c>
      <c r="I10" s="8">
        <f>SUM([1]Sheet1!I14,[1]Sheet1!I48,[1]Sheet1!I82,[1]Sheet1!I116)</f>
        <v>1284655.5730017079</v>
      </c>
      <c r="J10" s="8">
        <f>SUM([1]Sheet1!J14,[1]Sheet1!J48,[1]Sheet1!J82,[1]Sheet1!J116)</f>
        <v>1289852.6277747478</v>
      </c>
      <c r="K10" s="8">
        <f>SUM([1]Sheet1!K14,[1]Sheet1!K48,[1]Sheet1!K82,[1]Sheet1!K116)</f>
        <v>1303083.4543068651</v>
      </c>
      <c r="L10" s="8">
        <f>SUM([1]Sheet1!L14,[1]Sheet1!L48,[1]Sheet1!L82,[1]Sheet1!L116)</f>
        <v>1329369.6342132085</v>
      </c>
      <c r="M10" s="8">
        <f>SUM([1]Sheet1!M14,[1]Sheet1!M48,[1]Sheet1!M82,[1]Sheet1!M116)</f>
        <v>1375987.7126456029</v>
      </c>
      <c r="N10" s="8">
        <f>SUM([1]Sheet1!N14,[1]Sheet1!N48,[1]Sheet1!N82,[1]Sheet1!N116)</f>
        <v>1438407.0719817255</v>
      </c>
      <c r="O10" s="8">
        <f>SUM([1]Sheet1!O14,[1]Sheet1!O48,[1]Sheet1!O82,[1]Sheet1!O116)</f>
        <v>1504598.5596316843</v>
      </c>
      <c r="P10" s="8">
        <f>SUM([1]Sheet1!P14,[1]Sheet1!P48,[1]Sheet1!P82,[1]Sheet1!P116)</f>
        <v>1567811.7179421098</v>
      </c>
      <c r="Q10" s="8">
        <f>SUM([1]Sheet1!Q14,[1]Sheet1!Q48,[1]Sheet1!Q82,[1]Sheet1!Q116)</f>
        <v>1629153.7237748303</v>
      </c>
      <c r="R10" s="8">
        <f>SUM([1]Sheet1!R14,[1]Sheet1!R48,[1]Sheet1!R82,[1]Sheet1!R116)</f>
        <v>1680008.2595614642</v>
      </c>
      <c r="S10" s="8">
        <f>SUM([1]Sheet1!S14,[1]Sheet1!S48,[1]Sheet1!S82,[1]Sheet1!S116)</f>
        <v>1725088.5749223563</v>
      </c>
      <c r="T10" s="8"/>
      <c r="U10" s="8"/>
      <c r="V10" s="8"/>
      <c r="W10" s="8"/>
      <c r="X10" s="8"/>
      <c r="Y10" s="8"/>
      <c r="Z10" s="8"/>
      <c r="AA10" s="8"/>
      <c r="AB10" s="8"/>
      <c r="AC10" s="8"/>
      <c r="AD10" s="8"/>
      <c r="AE10" s="8"/>
    </row>
    <row r="11" spans="1:31">
      <c r="B11" s="4" t="s">
        <v>450</v>
      </c>
      <c r="C11" s="4" t="s">
        <v>460</v>
      </c>
      <c r="D11" s="8">
        <f>SUM([1]Sheet1!D15,[1]Sheet1!D49,[1]Sheet1!D83,[1]Sheet1!D117)</f>
        <v>1034210.474130645</v>
      </c>
      <c r="E11" s="8">
        <f>SUM([1]Sheet1!E15,[1]Sheet1!E49,[1]Sheet1!E83,[1]Sheet1!E117)</f>
        <v>1053527.3239776583</v>
      </c>
      <c r="F11" s="8">
        <f>SUM([1]Sheet1!F15,[1]Sheet1!F49,[1]Sheet1!F83,[1]Sheet1!F117)</f>
        <v>1070185.7908790116</v>
      </c>
      <c r="G11" s="8">
        <f>SUM([1]Sheet1!G15,[1]Sheet1!G49,[1]Sheet1!G83,[1]Sheet1!G117)</f>
        <v>1085517.2708467168</v>
      </c>
      <c r="H11" s="8">
        <f>SUM([1]Sheet1!H15,[1]Sheet1!H49,[1]Sheet1!H83,[1]Sheet1!H117)</f>
        <v>1100598.0061934222</v>
      </c>
      <c r="I11" s="8">
        <f>SUM([1]Sheet1!I15,[1]Sheet1!I49,[1]Sheet1!I83,[1]Sheet1!I117)</f>
        <v>1116287.4734781992</v>
      </c>
      <c r="J11" s="8">
        <f>SUM([1]Sheet1!J15,[1]Sheet1!J49,[1]Sheet1!J83,[1]Sheet1!J117)</f>
        <v>1130975.0504669102</v>
      </c>
      <c r="K11" s="8">
        <f>SUM([1]Sheet1!K15,[1]Sheet1!K49,[1]Sheet1!K83,[1]Sheet1!K117)</f>
        <v>1144206.5526946674</v>
      </c>
      <c r="L11" s="8">
        <f>SUM([1]Sheet1!L15,[1]Sheet1!L49,[1]Sheet1!L83,[1]Sheet1!L117)</f>
        <v>1156280.2996445468</v>
      </c>
      <c r="M11" s="8">
        <f>SUM([1]Sheet1!M15,[1]Sheet1!M49,[1]Sheet1!M83,[1]Sheet1!M117)</f>
        <v>1166459.7196919955</v>
      </c>
      <c r="N11" s="8">
        <f>SUM([1]Sheet1!N15,[1]Sheet1!N49,[1]Sheet1!N83,[1]Sheet1!N117)</f>
        <v>1176172.6926462096</v>
      </c>
      <c r="O11" s="8">
        <f>SUM([1]Sheet1!O15,[1]Sheet1!O49,[1]Sheet1!O83,[1]Sheet1!O117)</f>
        <v>1189887.2034546123</v>
      </c>
      <c r="P11" s="8">
        <f>SUM([1]Sheet1!P15,[1]Sheet1!P49,[1]Sheet1!P83,[1]Sheet1!P117)</f>
        <v>1210780.7448623686</v>
      </c>
      <c r="Q11" s="8">
        <f>SUM([1]Sheet1!Q15,[1]Sheet1!Q49,[1]Sheet1!Q83,[1]Sheet1!Q117)</f>
        <v>1242088.1491068662</v>
      </c>
      <c r="R11" s="8">
        <f>SUM([1]Sheet1!R15,[1]Sheet1!R49,[1]Sheet1!R83,[1]Sheet1!R117)</f>
        <v>1291445.9617650248</v>
      </c>
      <c r="S11" s="8">
        <f>SUM([1]Sheet1!S15,[1]Sheet1!S49,[1]Sheet1!S83,[1]Sheet1!S117)</f>
        <v>1355592.2856924308</v>
      </c>
      <c r="T11" s="8"/>
      <c r="U11" s="8"/>
      <c r="V11" s="8"/>
      <c r="W11" s="8"/>
      <c r="X11" s="8"/>
      <c r="Y11" s="8"/>
      <c r="Z11" s="8"/>
      <c r="AA11" s="8"/>
      <c r="AB11" s="8"/>
      <c r="AC11" s="8"/>
      <c r="AD11" s="8"/>
      <c r="AE11" s="8"/>
    </row>
    <row r="12" spans="1:31">
      <c r="B12" s="4" t="s">
        <v>450</v>
      </c>
      <c r="C12" s="4" t="s">
        <v>461</v>
      </c>
      <c r="D12" s="8">
        <f>SUM([1]Sheet1!D16,[1]Sheet1!D50,[1]Sheet1!D84,[1]Sheet1!D118)</f>
        <v>814752.50266034598</v>
      </c>
      <c r="E12" s="8">
        <f>SUM([1]Sheet1!E16,[1]Sheet1!E50,[1]Sheet1!E84,[1]Sheet1!E118)</f>
        <v>840532.35219451971</v>
      </c>
      <c r="F12" s="8">
        <f>SUM([1]Sheet1!F16,[1]Sheet1!F50,[1]Sheet1!F84,[1]Sheet1!F118)</f>
        <v>863703.01522529975</v>
      </c>
      <c r="G12" s="8">
        <f>SUM([1]Sheet1!G16,[1]Sheet1!G50,[1]Sheet1!G84,[1]Sheet1!G118)</f>
        <v>883757.98864610691</v>
      </c>
      <c r="H12" s="8">
        <f>SUM([1]Sheet1!H16,[1]Sheet1!H50,[1]Sheet1!H84,[1]Sheet1!H118)</f>
        <v>900547.68451594841</v>
      </c>
      <c r="I12" s="8">
        <f>SUM([1]Sheet1!I16,[1]Sheet1!I50,[1]Sheet1!I84,[1]Sheet1!I118)</f>
        <v>915632.36087067588</v>
      </c>
      <c r="J12" s="8">
        <f>SUM([1]Sheet1!J16,[1]Sheet1!J50,[1]Sheet1!J84,[1]Sheet1!J118)</f>
        <v>930931.59841727384</v>
      </c>
      <c r="K12" s="8">
        <f>SUM([1]Sheet1!K16,[1]Sheet1!K50,[1]Sheet1!K84,[1]Sheet1!K118)</f>
        <v>946787.92433152068</v>
      </c>
      <c r="L12" s="8">
        <f>SUM([1]Sheet1!L16,[1]Sheet1!L50,[1]Sheet1!L84,[1]Sheet1!L118)</f>
        <v>964316.371556959</v>
      </c>
      <c r="M12" s="8">
        <f>SUM([1]Sheet1!M16,[1]Sheet1!M50,[1]Sheet1!M84,[1]Sheet1!M118)</f>
        <v>983945.29185842723</v>
      </c>
      <c r="N12" s="8">
        <f>SUM([1]Sheet1!N16,[1]Sheet1!N50,[1]Sheet1!N84,[1]Sheet1!N118)</f>
        <v>1004369.1540318729</v>
      </c>
      <c r="O12" s="8">
        <f>SUM([1]Sheet1!O16,[1]Sheet1!O50,[1]Sheet1!O84,[1]Sheet1!O118)</f>
        <v>1023548.6695208066</v>
      </c>
      <c r="P12" s="8">
        <f>SUM([1]Sheet1!P16,[1]Sheet1!P50,[1]Sheet1!P84,[1]Sheet1!P118)</f>
        <v>1041512.7087564993</v>
      </c>
      <c r="Q12" s="8">
        <f>SUM([1]Sheet1!Q16,[1]Sheet1!Q50,[1]Sheet1!Q84,[1]Sheet1!Q118)</f>
        <v>1057616.5442318977</v>
      </c>
      <c r="R12" s="8">
        <f>SUM([1]Sheet1!R16,[1]Sheet1!R50,[1]Sheet1!R84,[1]Sheet1!R118)</f>
        <v>1071527.0437071801</v>
      </c>
      <c r="S12" s="8">
        <f>SUM([1]Sheet1!S16,[1]Sheet1!S50,[1]Sheet1!S84,[1]Sheet1!S118)</f>
        <v>1085068.4313495818</v>
      </c>
      <c r="T12" s="8"/>
      <c r="U12" s="8"/>
      <c r="V12" s="8"/>
      <c r="W12" s="8"/>
      <c r="X12" s="8"/>
      <c r="Y12" s="8"/>
      <c r="Z12" s="8"/>
      <c r="AA12" s="8"/>
      <c r="AB12" s="8"/>
      <c r="AC12" s="8"/>
      <c r="AD12" s="8"/>
      <c r="AE12" s="8"/>
    </row>
    <row r="13" spans="1:31">
      <c r="B13" s="4" t="s">
        <v>450</v>
      </c>
      <c r="C13" s="4" t="s">
        <v>462</v>
      </c>
      <c r="D13" s="8">
        <f>SUM([1]Sheet1!D17,[1]Sheet1!D51,[1]Sheet1!D85,[1]Sheet1!D119)</f>
        <v>607102.76829578751</v>
      </c>
      <c r="E13" s="8">
        <f>SUM([1]Sheet1!E17,[1]Sheet1!E51,[1]Sheet1!E85,[1]Sheet1!E119)</f>
        <v>627727.5286117387</v>
      </c>
      <c r="F13" s="8">
        <f>SUM([1]Sheet1!F17,[1]Sheet1!F51,[1]Sheet1!F85,[1]Sheet1!F119)</f>
        <v>649083.56812729861</v>
      </c>
      <c r="G13" s="8">
        <f>SUM([1]Sheet1!G17,[1]Sheet1!G51,[1]Sheet1!G85,[1]Sheet1!G119)</f>
        <v>670677.90028681094</v>
      </c>
      <c r="H13" s="8">
        <f>SUM([1]Sheet1!H17,[1]Sheet1!H51,[1]Sheet1!H85,[1]Sheet1!H119)</f>
        <v>692475.68900708877</v>
      </c>
      <c r="I13" s="8">
        <f>SUM([1]Sheet1!I17,[1]Sheet1!I51,[1]Sheet1!I85,[1]Sheet1!I119)</f>
        <v>714689.06103030406</v>
      </c>
      <c r="J13" s="8">
        <f>SUM([1]Sheet1!J17,[1]Sheet1!J51,[1]Sheet1!J85,[1]Sheet1!J119)</f>
        <v>735419.66945885459</v>
      </c>
      <c r="K13" s="8">
        <f>SUM([1]Sheet1!K17,[1]Sheet1!K51,[1]Sheet1!K85,[1]Sheet1!K119)</f>
        <v>755623.23604148231</v>
      </c>
      <c r="L13" s="8">
        <f>SUM([1]Sheet1!L17,[1]Sheet1!L51,[1]Sheet1!L85,[1]Sheet1!L119)</f>
        <v>774975.4623960692</v>
      </c>
      <c r="M13" s="8">
        <f>SUM([1]Sheet1!M17,[1]Sheet1!M51,[1]Sheet1!M85,[1]Sheet1!M119)</f>
        <v>793115.16929893917</v>
      </c>
      <c r="N13" s="8">
        <f>SUM([1]Sheet1!N17,[1]Sheet1!N51,[1]Sheet1!N85,[1]Sheet1!N119)</f>
        <v>810119.69922582153</v>
      </c>
      <c r="O13" s="8">
        <f>SUM([1]Sheet1!O17,[1]Sheet1!O51,[1]Sheet1!O85,[1]Sheet1!O119)</f>
        <v>827259.60804414679</v>
      </c>
      <c r="P13" s="8">
        <f>SUM([1]Sheet1!P17,[1]Sheet1!P51,[1]Sheet1!P85,[1]Sheet1!P119)</f>
        <v>844872.12362755986</v>
      </c>
      <c r="Q13" s="8">
        <f>SUM([1]Sheet1!Q17,[1]Sheet1!Q51,[1]Sheet1!Q85,[1]Sheet1!Q119)</f>
        <v>863646.05529109412</v>
      </c>
      <c r="R13" s="8">
        <f>SUM([1]Sheet1!R17,[1]Sheet1!R51,[1]Sheet1!R85,[1]Sheet1!R119)</f>
        <v>884201.72648653307</v>
      </c>
      <c r="S13" s="8">
        <f>SUM([1]Sheet1!S17,[1]Sheet1!S51,[1]Sheet1!S85,[1]Sheet1!S119)</f>
        <v>905701.29966687993</v>
      </c>
      <c r="T13" s="8"/>
      <c r="U13" s="8"/>
      <c r="V13" s="8"/>
      <c r="W13" s="8"/>
      <c r="X13" s="8"/>
      <c r="Y13" s="8"/>
      <c r="Z13" s="8"/>
      <c r="AA13" s="8"/>
      <c r="AB13" s="8"/>
      <c r="AC13" s="8"/>
      <c r="AD13" s="8"/>
      <c r="AE13" s="8"/>
    </row>
    <row r="14" spans="1:31">
      <c r="B14" s="4" t="s">
        <v>450</v>
      </c>
      <c r="C14" s="4" t="s">
        <v>463</v>
      </c>
      <c r="D14" s="8">
        <f>SUM([1]Sheet1!D18,[1]Sheet1!D52,[1]Sheet1!D86,[1]Sheet1!D120)</f>
        <v>470381.2524254251</v>
      </c>
      <c r="E14" s="8">
        <f>SUM([1]Sheet1!E18,[1]Sheet1!E52,[1]Sheet1!E86,[1]Sheet1!E120)</f>
        <v>475946.82618020271</v>
      </c>
      <c r="F14" s="8">
        <f>SUM([1]Sheet1!F18,[1]Sheet1!F52,[1]Sheet1!F86,[1]Sheet1!F120)</f>
        <v>482482.05111586326</v>
      </c>
      <c r="G14" s="8">
        <f>SUM([1]Sheet1!G18,[1]Sheet1!G52,[1]Sheet1!G86,[1]Sheet1!G120)</f>
        <v>491358.57001219696</v>
      </c>
      <c r="H14" s="8">
        <f>SUM([1]Sheet1!H18,[1]Sheet1!H52,[1]Sheet1!H86,[1]Sheet1!H120)</f>
        <v>502722.73685002368</v>
      </c>
      <c r="I14" s="8">
        <f>SUM([1]Sheet1!I18,[1]Sheet1!I52,[1]Sheet1!I86,[1]Sheet1!I120)</f>
        <v>515901.52955487208</v>
      </c>
      <c r="J14" s="8">
        <f>SUM([1]Sheet1!J18,[1]Sheet1!J52,[1]Sheet1!J86,[1]Sheet1!J120)</f>
        <v>532613.10446075606</v>
      </c>
      <c r="K14" s="8">
        <f>SUM([1]Sheet1!K18,[1]Sheet1!K52,[1]Sheet1!K86,[1]Sheet1!K120)</f>
        <v>550755.62211782532</v>
      </c>
      <c r="L14" s="8">
        <f>SUM([1]Sheet1!L18,[1]Sheet1!L52,[1]Sheet1!L86,[1]Sheet1!L120)</f>
        <v>569910.38640425773</v>
      </c>
      <c r="M14" s="8">
        <f>SUM([1]Sheet1!M18,[1]Sheet1!M52,[1]Sheet1!M86,[1]Sheet1!M120)</f>
        <v>589940.67807867995</v>
      </c>
      <c r="N14" s="8">
        <f>SUM([1]Sheet1!N18,[1]Sheet1!N52,[1]Sheet1!N86,[1]Sheet1!N120)</f>
        <v>610641.01699351449</v>
      </c>
      <c r="O14" s="8">
        <f>SUM([1]Sheet1!O18,[1]Sheet1!O52,[1]Sheet1!O86,[1]Sheet1!O120)</f>
        <v>630220.9090150866</v>
      </c>
      <c r="P14" s="8">
        <f>SUM([1]Sheet1!P18,[1]Sheet1!P52,[1]Sheet1!P86,[1]Sheet1!P120)</f>
        <v>649411.63698208635</v>
      </c>
      <c r="Q14" s="8">
        <f>SUM([1]Sheet1!Q18,[1]Sheet1!Q52,[1]Sheet1!Q86,[1]Sheet1!Q120)</f>
        <v>667922.34408631455</v>
      </c>
      <c r="R14" s="8">
        <f>SUM([1]Sheet1!R18,[1]Sheet1!R52,[1]Sheet1!R86,[1]Sheet1!R120)</f>
        <v>685621.04131957493</v>
      </c>
      <c r="S14" s="8">
        <f>SUM([1]Sheet1!S18,[1]Sheet1!S52,[1]Sheet1!S86,[1]Sheet1!S120)</f>
        <v>702659.76811327343</v>
      </c>
      <c r="T14" s="8"/>
      <c r="U14" s="8"/>
      <c r="V14" s="8"/>
      <c r="W14" s="8"/>
      <c r="X14" s="8"/>
      <c r="Y14" s="8"/>
      <c r="Z14" s="8"/>
      <c r="AA14" s="8"/>
      <c r="AB14" s="8"/>
      <c r="AC14" s="8"/>
      <c r="AD14" s="8"/>
      <c r="AE14" s="8"/>
    </row>
    <row r="15" spans="1:31">
      <c r="B15" s="4" t="s">
        <v>450</v>
      </c>
      <c r="C15" s="4" t="s">
        <v>464</v>
      </c>
      <c r="D15" s="8">
        <f>SUM([1]Sheet1!D19,[1]Sheet1!D53,[1]Sheet1!D87,[1]Sheet1!D121)</f>
        <v>331636.75965279166</v>
      </c>
      <c r="E15" s="8">
        <f>SUM([1]Sheet1!E19,[1]Sheet1!E53,[1]Sheet1!E87,[1]Sheet1!E121)</f>
        <v>342334.90280453808</v>
      </c>
      <c r="F15" s="8">
        <f>SUM([1]Sheet1!F19,[1]Sheet1!F53,[1]Sheet1!F87,[1]Sheet1!F121)</f>
        <v>353657.41226394172</v>
      </c>
      <c r="G15" s="8">
        <f>SUM([1]Sheet1!G19,[1]Sheet1!G53,[1]Sheet1!G87,[1]Sheet1!G121)</f>
        <v>362753.38711743394</v>
      </c>
      <c r="H15" s="8">
        <f>SUM([1]Sheet1!H19,[1]Sheet1!H53,[1]Sheet1!H87,[1]Sheet1!H121)</f>
        <v>369356.75951917219</v>
      </c>
      <c r="I15" s="8">
        <f>SUM([1]Sheet1!I19,[1]Sheet1!I53,[1]Sheet1!I87,[1]Sheet1!I121)</f>
        <v>374556.5500456483</v>
      </c>
      <c r="J15" s="8">
        <f>SUM([1]Sheet1!J19,[1]Sheet1!J53,[1]Sheet1!J87,[1]Sheet1!J121)</f>
        <v>378910.92921442771</v>
      </c>
      <c r="K15" s="8">
        <f>SUM([1]Sheet1!K19,[1]Sheet1!K53,[1]Sheet1!K87,[1]Sheet1!K121)</f>
        <v>384635.42484986543</v>
      </c>
      <c r="L15" s="8">
        <f>SUM([1]Sheet1!L19,[1]Sheet1!L53,[1]Sheet1!L87,[1]Sheet1!L121)</f>
        <v>392745.46620449051</v>
      </c>
      <c r="M15" s="8">
        <f>SUM([1]Sheet1!M19,[1]Sheet1!M53,[1]Sheet1!M87,[1]Sheet1!M121)</f>
        <v>403252.14266681322</v>
      </c>
      <c r="N15" s="8">
        <f>SUM([1]Sheet1!N19,[1]Sheet1!N53,[1]Sheet1!N87,[1]Sheet1!N121)</f>
        <v>415419.18422201893</v>
      </c>
      <c r="O15" s="8">
        <f>SUM([1]Sheet1!O19,[1]Sheet1!O53,[1]Sheet1!O87,[1]Sheet1!O121)</f>
        <v>430451.81233014073</v>
      </c>
      <c r="P15" s="8">
        <f>SUM([1]Sheet1!P19,[1]Sheet1!P53,[1]Sheet1!P87,[1]Sheet1!P121)</f>
        <v>446579.0209714626</v>
      </c>
      <c r="Q15" s="8">
        <f>SUM([1]Sheet1!Q19,[1]Sheet1!Q53,[1]Sheet1!Q87,[1]Sheet1!Q121)</f>
        <v>463508.8130152917</v>
      </c>
      <c r="R15" s="8">
        <f>SUM([1]Sheet1!R19,[1]Sheet1!R53,[1]Sheet1!R87,[1]Sheet1!R121)</f>
        <v>481257.75725747575</v>
      </c>
      <c r="S15" s="8">
        <f>SUM([1]Sheet1!S19,[1]Sheet1!S53,[1]Sheet1!S87,[1]Sheet1!S121)</f>
        <v>499711.0902356953</v>
      </c>
      <c r="T15" s="8"/>
      <c r="U15" s="8"/>
      <c r="V15" s="8"/>
      <c r="W15" s="8"/>
      <c r="X15" s="8"/>
      <c r="Y15" s="8"/>
      <c r="Z15" s="8"/>
      <c r="AA15" s="8"/>
      <c r="AB15" s="8"/>
      <c r="AC15" s="8"/>
      <c r="AD15" s="8"/>
      <c r="AE15" s="8"/>
    </row>
    <row r="16" spans="1:31">
      <c r="B16" s="4" t="s">
        <v>450</v>
      </c>
      <c r="C16" s="4" t="s">
        <v>465</v>
      </c>
      <c r="D16" s="8">
        <f>SUM([1]Sheet1!D20,[1]Sheet1!D54,[1]Sheet1!D88,[1]Sheet1!D122)</f>
        <v>224877.10167049782</v>
      </c>
      <c r="E16" s="8">
        <f>SUM([1]Sheet1!E20,[1]Sheet1!E54,[1]Sheet1!E88,[1]Sheet1!E122)</f>
        <v>226187.92365083241</v>
      </c>
      <c r="F16" s="8">
        <f>SUM([1]Sheet1!F20,[1]Sheet1!F54,[1]Sheet1!F88,[1]Sheet1!F122)</f>
        <v>227083.55596033577</v>
      </c>
      <c r="G16" s="8">
        <f>SUM([1]Sheet1!G20,[1]Sheet1!G54,[1]Sheet1!G88,[1]Sheet1!G122)</f>
        <v>230022.38212844168</v>
      </c>
      <c r="H16" s="8">
        <f>SUM([1]Sheet1!H20,[1]Sheet1!H54,[1]Sheet1!H88,[1]Sheet1!H122)</f>
        <v>234909.79471916531</v>
      </c>
      <c r="I16" s="8">
        <f>SUM([1]Sheet1!I20,[1]Sheet1!I54,[1]Sheet1!I88,[1]Sheet1!I122)</f>
        <v>241754.62214847622</v>
      </c>
      <c r="J16" s="8">
        <f>SUM([1]Sheet1!J20,[1]Sheet1!J54,[1]Sheet1!J88,[1]Sheet1!J122)</f>
        <v>249767.47395681549</v>
      </c>
      <c r="K16" s="8">
        <f>SUM([1]Sheet1!K20,[1]Sheet1!K54,[1]Sheet1!K88,[1]Sheet1!K122)</f>
        <v>258393.25175279813</v>
      </c>
      <c r="L16" s="8">
        <f>SUM([1]Sheet1!L20,[1]Sheet1!L54,[1]Sheet1!L88,[1]Sheet1!L122)</f>
        <v>265760.40083917469</v>
      </c>
      <c r="M16" s="8">
        <f>SUM([1]Sheet1!M20,[1]Sheet1!M54,[1]Sheet1!M88,[1]Sheet1!M122)</f>
        <v>271635.1879601815</v>
      </c>
      <c r="N16" s="8">
        <f>SUM([1]Sheet1!N20,[1]Sheet1!N54,[1]Sheet1!N88,[1]Sheet1!N122)</f>
        <v>276711.65566054214</v>
      </c>
      <c r="O16" s="8">
        <f>SUM([1]Sheet1!O20,[1]Sheet1!O54,[1]Sheet1!O88,[1]Sheet1!O122)</f>
        <v>281313.58563671116</v>
      </c>
      <c r="P16" s="8">
        <f>SUM([1]Sheet1!P20,[1]Sheet1!P54,[1]Sheet1!P88,[1]Sheet1!P122)</f>
        <v>286971.56045053265</v>
      </c>
      <c r="Q16" s="8">
        <f>SUM([1]Sheet1!Q20,[1]Sheet1!Q54,[1]Sheet1!Q88,[1]Sheet1!Q122)</f>
        <v>294449.79902846797</v>
      </c>
      <c r="R16" s="8">
        <f>SUM([1]Sheet1!R20,[1]Sheet1!R54,[1]Sheet1!R88,[1]Sheet1!R122)</f>
        <v>303849.53934690234</v>
      </c>
      <c r="S16" s="8">
        <f>SUM([1]Sheet1!S20,[1]Sheet1!S54,[1]Sheet1!S88,[1]Sheet1!S122)</f>
        <v>314643.87020421983</v>
      </c>
      <c r="T16" s="8"/>
      <c r="U16" s="8"/>
      <c r="V16" s="8"/>
      <c r="W16" s="8"/>
      <c r="X16" s="8"/>
      <c r="Y16" s="8"/>
      <c r="Z16" s="8"/>
      <c r="AA16" s="8"/>
      <c r="AB16" s="8"/>
      <c r="AC16" s="8"/>
      <c r="AD16" s="8"/>
      <c r="AE16" s="8"/>
    </row>
    <row r="17" spans="2:31">
      <c r="B17" s="4" t="s">
        <v>450</v>
      </c>
      <c r="C17" s="4" t="s">
        <v>466</v>
      </c>
      <c r="D17" s="8">
        <f>SUM([1]Sheet1!D21,[1]Sheet1!D55,[1]Sheet1!D89,[1]Sheet1!D123)</f>
        <v>136113.41047285518</v>
      </c>
      <c r="E17" s="8">
        <f>SUM([1]Sheet1!E21,[1]Sheet1!E55,[1]Sheet1!E89,[1]Sheet1!E123)</f>
        <v>137889.03151454381</v>
      </c>
      <c r="F17" s="8">
        <f>SUM([1]Sheet1!F21,[1]Sheet1!F55,[1]Sheet1!F89,[1]Sheet1!F123)</f>
        <v>139850.104920388</v>
      </c>
      <c r="G17" s="8">
        <f>SUM([1]Sheet1!G21,[1]Sheet1!G55,[1]Sheet1!G89,[1]Sheet1!G123)</f>
        <v>141670.58791028697</v>
      </c>
      <c r="H17" s="8">
        <f>SUM([1]Sheet1!H21,[1]Sheet1!H55,[1]Sheet1!H89,[1]Sheet1!H123)</f>
        <v>143069.40738170873</v>
      </c>
      <c r="I17" s="8">
        <f>SUM([1]Sheet1!I21,[1]Sheet1!I55,[1]Sheet1!I89,[1]Sheet1!I123)</f>
        <v>144325.56363142564</v>
      </c>
      <c r="J17" s="8">
        <f>SUM([1]Sheet1!J21,[1]Sheet1!J55,[1]Sheet1!J89,[1]Sheet1!J123)</f>
        <v>145506.70857403637</v>
      </c>
      <c r="K17" s="8">
        <f>SUM([1]Sheet1!K21,[1]Sheet1!K55,[1]Sheet1!K89,[1]Sheet1!K123)</f>
        <v>146644.51519230643</v>
      </c>
      <c r="L17" s="8">
        <f>SUM([1]Sheet1!L21,[1]Sheet1!L55,[1]Sheet1!L89,[1]Sheet1!L123)</f>
        <v>149308.73729902838</v>
      </c>
      <c r="M17" s="8">
        <f>SUM([1]Sheet1!M21,[1]Sheet1!M55,[1]Sheet1!M89,[1]Sheet1!M123)</f>
        <v>153411.16205776282</v>
      </c>
      <c r="N17" s="8">
        <f>SUM([1]Sheet1!N21,[1]Sheet1!N55,[1]Sheet1!N89,[1]Sheet1!N123)</f>
        <v>158851.94076045998</v>
      </c>
      <c r="O17" s="8">
        <f>SUM([1]Sheet1!O21,[1]Sheet1!O55,[1]Sheet1!O89,[1]Sheet1!O123)</f>
        <v>165125.51247979311</v>
      </c>
      <c r="P17" s="8">
        <f>SUM([1]Sheet1!P21,[1]Sheet1!P55,[1]Sheet1!P89,[1]Sheet1!P123)</f>
        <v>171712.7804442051</v>
      </c>
      <c r="Q17" s="8">
        <f>SUM([1]Sheet1!Q21,[1]Sheet1!Q55,[1]Sheet1!Q89,[1]Sheet1!Q123)</f>
        <v>177526.82683254255</v>
      </c>
      <c r="R17" s="8">
        <f>SUM([1]Sheet1!R21,[1]Sheet1!R55,[1]Sheet1!R89,[1]Sheet1!R123)</f>
        <v>182495.24687006572</v>
      </c>
      <c r="S17" s="8">
        <f>SUM([1]Sheet1!S21,[1]Sheet1!S55,[1]Sheet1!S89,[1]Sheet1!S123)</f>
        <v>187084.46060608642</v>
      </c>
      <c r="T17" s="8"/>
      <c r="U17" s="8"/>
      <c r="V17" s="8"/>
      <c r="W17" s="8"/>
      <c r="X17" s="8"/>
      <c r="Y17" s="8"/>
      <c r="Z17" s="8"/>
      <c r="AA17" s="8"/>
      <c r="AB17" s="8"/>
      <c r="AC17" s="8"/>
      <c r="AD17" s="8"/>
      <c r="AE17" s="8"/>
    </row>
    <row r="18" spans="2:31">
      <c r="B18" s="4" t="s">
        <v>450</v>
      </c>
      <c r="C18" s="4" t="s">
        <v>467</v>
      </c>
      <c r="D18" s="8">
        <f>SUM([1]Sheet1!D22,[1]Sheet1!D56,[1]Sheet1!D90,[1]Sheet1!D124)</f>
        <v>106228.95107064996</v>
      </c>
      <c r="E18" s="8">
        <f>SUM([1]Sheet1!E22,[1]Sheet1!E56,[1]Sheet1!E90,[1]Sheet1!E124)</f>
        <v>107716.99456097675</v>
      </c>
      <c r="F18" s="8">
        <f>SUM([1]Sheet1!F22,[1]Sheet1!F56,[1]Sheet1!F90,[1]Sheet1!F124)</f>
        <v>109064.07331907432</v>
      </c>
      <c r="G18" s="8">
        <f>SUM([1]Sheet1!G22,[1]Sheet1!G56,[1]Sheet1!G90,[1]Sheet1!G124)</f>
        <v>110344.67798154335</v>
      </c>
      <c r="H18" s="8">
        <f>SUM([1]Sheet1!H22,[1]Sheet1!H56,[1]Sheet1!H90,[1]Sheet1!H124)</f>
        <v>112108.22965897596</v>
      </c>
      <c r="I18" s="8">
        <f>SUM([1]Sheet1!I22,[1]Sheet1!I56,[1]Sheet1!I90,[1]Sheet1!I124)</f>
        <v>113866.35964732076</v>
      </c>
      <c r="J18" s="8">
        <f>SUM([1]Sheet1!J22,[1]Sheet1!J56,[1]Sheet1!J90,[1]Sheet1!J124)</f>
        <v>115740.72937423378</v>
      </c>
      <c r="K18" s="8">
        <f>SUM([1]Sheet1!K22,[1]Sheet1!K56,[1]Sheet1!K90,[1]Sheet1!K124)</f>
        <v>117780.48351091867</v>
      </c>
      <c r="L18" s="8">
        <f>SUM([1]Sheet1!L22,[1]Sheet1!L56,[1]Sheet1!L90,[1]Sheet1!L124)</f>
        <v>119842.54733242658</v>
      </c>
      <c r="M18" s="8">
        <f>SUM([1]Sheet1!M22,[1]Sheet1!M56,[1]Sheet1!M90,[1]Sheet1!M124)</f>
        <v>122047.4577375052</v>
      </c>
      <c r="N18" s="8">
        <f>SUM([1]Sheet1!N22,[1]Sheet1!N56,[1]Sheet1!N90,[1]Sheet1!N124)</f>
        <v>124196.59346915706</v>
      </c>
      <c r="O18" s="8">
        <f>SUM([1]Sheet1!O22,[1]Sheet1!O56,[1]Sheet1!O90,[1]Sheet1!O124)</f>
        <v>126408.65320709298</v>
      </c>
      <c r="P18" s="8">
        <f>SUM([1]Sheet1!P22,[1]Sheet1!P56,[1]Sheet1!P90,[1]Sheet1!P124)</f>
        <v>128738.12313684807</v>
      </c>
      <c r="Q18" s="8">
        <f>SUM([1]Sheet1!Q22,[1]Sheet1!Q56,[1]Sheet1!Q90,[1]Sheet1!Q124)</f>
        <v>132008.80657211767</v>
      </c>
      <c r="R18" s="8">
        <f>SUM([1]Sheet1!R22,[1]Sheet1!R56,[1]Sheet1!R90,[1]Sheet1!R124)</f>
        <v>136233.55382356065</v>
      </c>
      <c r="S18" s="8">
        <f>SUM([1]Sheet1!S22,[1]Sheet1!S56,[1]Sheet1!S90,[1]Sheet1!S124)</f>
        <v>141215.3225497384</v>
      </c>
      <c r="T18" s="8"/>
      <c r="U18" s="8"/>
      <c r="V18" s="8"/>
      <c r="W18" s="8"/>
      <c r="X18" s="8"/>
      <c r="Y18" s="8"/>
      <c r="Z18" s="8"/>
      <c r="AA18" s="8"/>
      <c r="AB18" s="8"/>
      <c r="AC18" s="8"/>
      <c r="AD18" s="8"/>
      <c r="AE18" s="8"/>
    </row>
    <row r="19" spans="2:31">
      <c r="B19" s="4" t="s">
        <v>468</v>
      </c>
      <c r="C19" s="4" t="s">
        <v>451</v>
      </c>
      <c r="D19" s="8">
        <f>SUM([1]Sheet1!D23,[1]Sheet1!D57,[1]Sheet1!D91,[1]Sheet1!D125)</f>
        <v>2344983.5922747836</v>
      </c>
      <c r="E19" s="8">
        <f>SUM([1]Sheet1!E23,[1]Sheet1!E57,[1]Sheet1!E91,[1]Sheet1!E125)</f>
        <v>2344690.4576547071</v>
      </c>
      <c r="F19" s="8">
        <f>SUM([1]Sheet1!F23,[1]Sheet1!F57,[1]Sheet1!F91,[1]Sheet1!F125)</f>
        <v>2375055.1503935256</v>
      </c>
      <c r="G19" s="8">
        <f>SUM([1]Sheet1!G23,[1]Sheet1!G57,[1]Sheet1!G91,[1]Sheet1!G125)</f>
        <v>2424333.6105767726</v>
      </c>
      <c r="H19" s="8">
        <f>SUM([1]Sheet1!H23,[1]Sheet1!H57,[1]Sheet1!H91,[1]Sheet1!H125)</f>
        <v>2506187.6427789042</v>
      </c>
      <c r="I19" s="8">
        <f>SUM([1]Sheet1!I23,[1]Sheet1!I57,[1]Sheet1!I91,[1]Sheet1!I125)</f>
        <v>2607498.3186374218</v>
      </c>
      <c r="J19" s="8">
        <f>SUM([1]Sheet1!J23,[1]Sheet1!J57,[1]Sheet1!J91,[1]Sheet1!J125)</f>
        <v>2712847.9418493938</v>
      </c>
      <c r="K19" s="8">
        <f>SUM([1]Sheet1!K23,[1]Sheet1!K57,[1]Sheet1!K91,[1]Sheet1!K125)</f>
        <v>2790366.9492815025</v>
      </c>
      <c r="L19" s="8">
        <f>SUM([1]Sheet1!L23,[1]Sheet1!L57,[1]Sheet1!L91,[1]Sheet1!L125)</f>
        <v>2845136.4057310862</v>
      </c>
      <c r="M19" s="8">
        <f>SUM([1]Sheet1!M23,[1]Sheet1!M57,[1]Sheet1!M91,[1]Sheet1!M125)</f>
        <v>2878586.5940013444</v>
      </c>
      <c r="N19" s="8">
        <f>SUM([1]Sheet1!N23,[1]Sheet1!N57,[1]Sheet1!N91,[1]Sheet1!N125)</f>
        <v>2895522.4970890828</v>
      </c>
      <c r="O19" s="8">
        <f>SUM([1]Sheet1!O23,[1]Sheet1!O57,[1]Sheet1!O91,[1]Sheet1!O125)</f>
        <v>2905556.9705545753</v>
      </c>
      <c r="P19" s="8">
        <f>SUM([1]Sheet1!P23,[1]Sheet1!P57,[1]Sheet1!P91,[1]Sheet1!P125)</f>
        <v>2913545.6512265364</v>
      </c>
      <c r="Q19" s="8">
        <f>SUM([1]Sheet1!Q23,[1]Sheet1!Q57,[1]Sheet1!Q91,[1]Sheet1!Q125)</f>
        <v>2919750.0220190878</v>
      </c>
      <c r="R19" s="8">
        <f>SUM([1]Sheet1!R23,[1]Sheet1!R57,[1]Sheet1!R91,[1]Sheet1!R125)</f>
        <v>2922788.9812859613</v>
      </c>
      <c r="S19" s="8">
        <f>SUM([1]Sheet1!S23,[1]Sheet1!S57,[1]Sheet1!S91,[1]Sheet1!S125)</f>
        <v>2920261.4274772308</v>
      </c>
      <c r="T19" s="8"/>
      <c r="U19" s="8"/>
      <c r="V19" s="8"/>
      <c r="W19" s="8"/>
      <c r="X19" s="8"/>
      <c r="Y19" s="8"/>
      <c r="Z19" s="8"/>
      <c r="AA19" s="8"/>
      <c r="AB19" s="8"/>
      <c r="AC19" s="8"/>
      <c r="AD19" s="8"/>
      <c r="AE19" s="8"/>
    </row>
    <row r="20" spans="2:31">
      <c r="B20" s="4" t="s">
        <v>468</v>
      </c>
      <c r="C20" s="4" t="s">
        <v>452</v>
      </c>
      <c r="D20" s="8">
        <f>SUM([1]Sheet1!D24,[1]Sheet1!D58,[1]Sheet1!D92,[1]Sheet1!D126)</f>
        <v>2494403.1903595864</v>
      </c>
      <c r="E20" s="8">
        <f>SUM([1]Sheet1!E24,[1]Sheet1!E58,[1]Sheet1!E92,[1]Sheet1!E126)</f>
        <v>2446413.7334528388</v>
      </c>
      <c r="F20" s="8">
        <f>SUM([1]Sheet1!F24,[1]Sheet1!F58,[1]Sheet1!F92,[1]Sheet1!F126)</f>
        <v>2406455.4791143369</v>
      </c>
      <c r="G20" s="8">
        <f>SUM([1]Sheet1!G24,[1]Sheet1!G58,[1]Sheet1!G92,[1]Sheet1!G126)</f>
        <v>2379071.4473119848</v>
      </c>
      <c r="H20" s="8">
        <f>SUM([1]Sheet1!H24,[1]Sheet1!H58,[1]Sheet1!H92,[1]Sheet1!H126)</f>
        <v>2348394.9061699323</v>
      </c>
      <c r="I20" s="8">
        <f>SUM([1]Sheet1!I24,[1]Sheet1!I58,[1]Sheet1!I92,[1]Sheet1!I126)</f>
        <v>2330300.465740575</v>
      </c>
      <c r="J20" s="8">
        <f>SUM([1]Sheet1!J24,[1]Sheet1!J58,[1]Sheet1!J92,[1]Sheet1!J126)</f>
        <v>2323119.3441772233</v>
      </c>
      <c r="K20" s="8">
        <f>SUM([1]Sheet1!K24,[1]Sheet1!K58,[1]Sheet1!K92,[1]Sheet1!K126)</f>
        <v>2346840.8277398697</v>
      </c>
      <c r="L20" s="8">
        <f>SUM([1]Sheet1!L24,[1]Sheet1!L58,[1]Sheet1!L92,[1]Sheet1!L126)</f>
        <v>2388619.2998715872</v>
      </c>
      <c r="M20" s="8">
        <f>SUM([1]Sheet1!M24,[1]Sheet1!M58,[1]Sheet1!M92,[1]Sheet1!M126)</f>
        <v>2462278.0471763369</v>
      </c>
      <c r="N20" s="8">
        <f>SUM([1]Sheet1!N24,[1]Sheet1!N58,[1]Sheet1!N92,[1]Sheet1!N126)</f>
        <v>2559071.0308297602</v>
      </c>
      <c r="O20" s="8">
        <f>SUM([1]Sheet1!O24,[1]Sheet1!O58,[1]Sheet1!O92,[1]Sheet1!O126)</f>
        <v>2663090.743699844</v>
      </c>
      <c r="P20" s="8">
        <f>SUM([1]Sheet1!P24,[1]Sheet1!P58,[1]Sheet1!P92,[1]Sheet1!P126)</f>
        <v>2744589.8870925959</v>
      </c>
      <c r="Q20" s="8">
        <f>SUM([1]Sheet1!Q24,[1]Sheet1!Q58,[1]Sheet1!Q92,[1]Sheet1!Q126)</f>
        <v>2806997.0754570393</v>
      </c>
      <c r="R20" s="8">
        <f>SUM([1]Sheet1!R24,[1]Sheet1!R58,[1]Sheet1!R92,[1]Sheet1!R126)</f>
        <v>2849053.7150437837</v>
      </c>
      <c r="S20" s="8">
        <f>SUM([1]Sheet1!S24,[1]Sheet1!S58,[1]Sheet1!S92,[1]Sheet1!S126)</f>
        <v>2875651.2742645727</v>
      </c>
      <c r="T20" s="8"/>
      <c r="U20" s="8"/>
      <c r="V20" s="8"/>
      <c r="W20" s="8"/>
      <c r="X20" s="8"/>
      <c r="Y20" s="8"/>
      <c r="Z20" s="8"/>
      <c r="AA20" s="8"/>
      <c r="AB20" s="8"/>
      <c r="AC20" s="8"/>
      <c r="AD20" s="8"/>
      <c r="AE20" s="8"/>
    </row>
    <row r="21" spans="2:31">
      <c r="B21" s="4" t="s">
        <v>468</v>
      </c>
      <c r="C21" s="4" t="s">
        <v>453</v>
      </c>
      <c r="D21" s="8">
        <f>SUM([1]Sheet1!D25,[1]Sheet1!D59,[1]Sheet1!D93,[1]Sheet1!D127)</f>
        <v>2676264.6808006493</v>
      </c>
      <c r="E21" s="8">
        <f>SUM([1]Sheet1!E25,[1]Sheet1!E59,[1]Sheet1!E93,[1]Sheet1!E127)</f>
        <v>2656987.3523386768</v>
      </c>
      <c r="F21" s="8">
        <f>SUM([1]Sheet1!F25,[1]Sheet1!F59,[1]Sheet1!F93,[1]Sheet1!F127)</f>
        <v>2626854.828035295</v>
      </c>
      <c r="G21" s="8">
        <f>SUM([1]Sheet1!G25,[1]Sheet1!G59,[1]Sheet1!G93,[1]Sheet1!G127)</f>
        <v>2592103.7697304715</v>
      </c>
      <c r="H21" s="8">
        <f>SUM([1]Sheet1!H25,[1]Sheet1!H59,[1]Sheet1!H93,[1]Sheet1!H127)</f>
        <v>2556288.2624215418</v>
      </c>
      <c r="I21" s="8">
        <f>SUM([1]Sheet1!I25,[1]Sheet1!I59,[1]Sheet1!I93,[1]Sheet1!I127)</f>
        <v>2505723.2000020081</v>
      </c>
      <c r="J21" s="8">
        <f>SUM([1]Sheet1!J25,[1]Sheet1!J59,[1]Sheet1!J93,[1]Sheet1!J127)</f>
        <v>2448571.4813848482</v>
      </c>
      <c r="K21" s="8">
        <f>SUM([1]Sheet1!K25,[1]Sheet1!K59,[1]Sheet1!K93,[1]Sheet1!K127)</f>
        <v>2401520.5223718905</v>
      </c>
      <c r="L21" s="8">
        <f>SUM([1]Sheet1!L25,[1]Sheet1!L59,[1]Sheet1!L93,[1]Sheet1!L127)</f>
        <v>2366665.0458610705</v>
      </c>
      <c r="M21" s="8">
        <f>SUM([1]Sheet1!M25,[1]Sheet1!M59,[1]Sheet1!M93,[1]Sheet1!M127)</f>
        <v>2328568.2940117181</v>
      </c>
      <c r="N21" s="8">
        <f>SUM([1]Sheet1!N25,[1]Sheet1!N59,[1]Sheet1!N93,[1]Sheet1!N127)</f>
        <v>2306656.227595903</v>
      </c>
      <c r="O21" s="8">
        <f>SUM([1]Sheet1!O25,[1]Sheet1!O59,[1]Sheet1!O93,[1]Sheet1!O127)</f>
        <v>2298613.7034824532</v>
      </c>
      <c r="P21" s="8">
        <f>SUM([1]Sheet1!P25,[1]Sheet1!P59,[1]Sheet1!P93,[1]Sheet1!P127)</f>
        <v>2321841.3836357901</v>
      </c>
      <c r="Q21" s="8">
        <f>SUM([1]Sheet1!Q25,[1]Sheet1!Q59,[1]Sheet1!Q93,[1]Sheet1!Q127)</f>
        <v>2365788.013964205</v>
      </c>
      <c r="R21" s="8">
        <f>SUM([1]Sheet1!R25,[1]Sheet1!R59,[1]Sheet1!R93,[1]Sheet1!R127)</f>
        <v>2443770.1253022384</v>
      </c>
      <c r="S21" s="8">
        <f>SUM([1]Sheet1!S25,[1]Sheet1!S59,[1]Sheet1!S93,[1]Sheet1!S127)</f>
        <v>2546421.6314461427</v>
      </c>
      <c r="T21" s="8"/>
      <c r="U21" s="8"/>
      <c r="V21" s="8"/>
      <c r="W21" s="8"/>
      <c r="X21" s="8"/>
      <c r="Y21" s="8"/>
      <c r="Z21" s="8"/>
      <c r="AA21" s="8"/>
      <c r="AB21" s="8"/>
      <c r="AC21" s="8"/>
      <c r="AD21" s="8"/>
      <c r="AE21" s="8"/>
    </row>
    <row r="22" spans="2:31">
      <c r="B22" s="4" t="s">
        <v>468</v>
      </c>
      <c r="C22" s="4" t="s">
        <v>454</v>
      </c>
      <c r="D22" s="8">
        <f>SUM([1]Sheet1!D26,[1]Sheet1!D60,[1]Sheet1!D94,[1]Sheet1!D128)</f>
        <v>2556495.9277705974</v>
      </c>
      <c r="E22" s="8">
        <f>SUM([1]Sheet1!E26,[1]Sheet1!E60,[1]Sheet1!E94,[1]Sheet1!E128)</f>
        <v>2616821.0894819917</v>
      </c>
      <c r="F22" s="8">
        <f>SUM([1]Sheet1!F26,[1]Sheet1!F60,[1]Sheet1!F94,[1]Sheet1!F128)</f>
        <v>2666762.8603729312</v>
      </c>
      <c r="G22" s="8">
        <f>SUM([1]Sheet1!G26,[1]Sheet1!G60,[1]Sheet1!G94,[1]Sheet1!G128)</f>
        <v>2699094.2141649271</v>
      </c>
      <c r="H22" s="8">
        <f>SUM([1]Sheet1!H26,[1]Sheet1!H60,[1]Sheet1!H94,[1]Sheet1!H128)</f>
        <v>2706076.1105017937</v>
      </c>
      <c r="I22" s="8">
        <f>SUM([1]Sheet1!I26,[1]Sheet1!I60,[1]Sheet1!I94,[1]Sheet1!I128)</f>
        <v>2694714.3366090916</v>
      </c>
      <c r="J22" s="8">
        <f>SUM([1]Sheet1!J26,[1]Sheet1!J60,[1]Sheet1!J94,[1]Sheet1!J128)</f>
        <v>2666665.0032345154</v>
      </c>
      <c r="K22" s="8">
        <f>SUM([1]Sheet1!K26,[1]Sheet1!K60,[1]Sheet1!K94,[1]Sheet1!K128)</f>
        <v>2629417.7124756873</v>
      </c>
      <c r="L22" s="8">
        <f>SUM([1]Sheet1!L26,[1]Sheet1!L60,[1]Sheet1!L94,[1]Sheet1!L128)</f>
        <v>2586712.5936848954</v>
      </c>
      <c r="M22" s="8">
        <f>SUM([1]Sheet1!M26,[1]Sheet1!M60,[1]Sheet1!M94,[1]Sheet1!M128)</f>
        <v>2542647.2393379794</v>
      </c>
      <c r="N22" s="8">
        <f>SUM([1]Sheet1!N26,[1]Sheet1!N60,[1]Sheet1!N94,[1]Sheet1!N128)</f>
        <v>2488061.8275276124</v>
      </c>
      <c r="O22" s="8">
        <f>SUM([1]Sheet1!O26,[1]Sheet1!O60,[1]Sheet1!O94,[1]Sheet1!O128)</f>
        <v>2430436.0507147312</v>
      </c>
      <c r="P22" s="8">
        <f>SUM([1]Sheet1!P26,[1]Sheet1!P60,[1]Sheet1!P94,[1]Sheet1!P128)</f>
        <v>2383631.0414106352</v>
      </c>
      <c r="Q22" s="8">
        <f>SUM([1]Sheet1!Q26,[1]Sheet1!Q60,[1]Sheet1!Q94,[1]Sheet1!Q128)</f>
        <v>2351936.1978930258</v>
      </c>
      <c r="R22" s="8">
        <f>SUM([1]Sheet1!R26,[1]Sheet1!R60,[1]Sheet1!R94,[1]Sheet1!R128)</f>
        <v>2319575.0437826612</v>
      </c>
      <c r="S22" s="8">
        <f>SUM([1]Sheet1!S26,[1]Sheet1!S60,[1]Sheet1!S94,[1]Sheet1!S128)</f>
        <v>2304284.0221368643</v>
      </c>
      <c r="T22" s="8"/>
      <c r="U22" s="8"/>
      <c r="V22" s="8"/>
      <c r="W22" s="8"/>
      <c r="X22" s="8"/>
      <c r="Y22" s="8"/>
      <c r="Z22" s="8"/>
      <c r="AA22" s="8"/>
      <c r="AB22" s="8"/>
      <c r="AC22" s="8"/>
      <c r="AD22" s="8"/>
      <c r="AE22" s="8"/>
    </row>
    <row r="23" spans="2:31">
      <c r="B23" s="4" t="s">
        <v>468</v>
      </c>
      <c r="C23" s="4" t="s">
        <v>455</v>
      </c>
      <c r="D23" s="8">
        <f>SUM([1]Sheet1!D27,[1]Sheet1!D61,[1]Sheet1!D95,[1]Sheet1!D129)</f>
        <v>2178717.8731500185</v>
      </c>
      <c r="E23" s="8">
        <f>SUM([1]Sheet1!E27,[1]Sheet1!E61,[1]Sheet1!E95,[1]Sheet1!E129)</f>
        <v>2271054.6536445571</v>
      </c>
      <c r="F23" s="8">
        <f>SUM([1]Sheet1!F27,[1]Sheet1!F61,[1]Sheet1!F95,[1]Sheet1!F129)</f>
        <v>2362127.3876364501</v>
      </c>
      <c r="G23" s="8">
        <f>SUM([1]Sheet1!G27,[1]Sheet1!G61,[1]Sheet1!G95,[1]Sheet1!G129)</f>
        <v>2451082.237306668</v>
      </c>
      <c r="H23" s="8">
        <f>SUM([1]Sheet1!H27,[1]Sheet1!H61,[1]Sheet1!H95,[1]Sheet1!H129)</f>
        <v>2524454.3970235302</v>
      </c>
      <c r="I23" s="8">
        <f>SUM([1]Sheet1!I27,[1]Sheet1!I61,[1]Sheet1!I95,[1]Sheet1!I129)</f>
        <v>2585901.7843568362</v>
      </c>
      <c r="J23" s="8">
        <f>SUM([1]Sheet1!J27,[1]Sheet1!J61,[1]Sheet1!J95,[1]Sheet1!J129)</f>
        <v>2641762.7255985751</v>
      </c>
      <c r="K23" s="8">
        <f>SUM([1]Sheet1!K27,[1]Sheet1!K61,[1]Sheet1!K95,[1]Sheet1!K129)</f>
        <v>2688322.6169160963</v>
      </c>
      <c r="L23" s="8">
        <f>SUM([1]Sheet1!L27,[1]Sheet1!L61,[1]Sheet1!L95,[1]Sheet1!L129)</f>
        <v>2715827.6027244139</v>
      </c>
      <c r="M23" s="8">
        <f>SUM([1]Sheet1!M27,[1]Sheet1!M61,[1]Sheet1!M95,[1]Sheet1!M129)</f>
        <v>2717467.6265149461</v>
      </c>
      <c r="N23" s="8">
        <f>SUM([1]Sheet1!N27,[1]Sheet1!N61,[1]Sheet1!N95,[1]Sheet1!N129)</f>
        <v>2704653.5001201699</v>
      </c>
      <c r="O23" s="8">
        <f>SUM([1]Sheet1!O27,[1]Sheet1!O61,[1]Sheet1!O95,[1]Sheet1!O129)</f>
        <v>2678694.0630741562</v>
      </c>
      <c r="P23" s="8">
        <f>SUM([1]Sheet1!P27,[1]Sheet1!P61,[1]Sheet1!P95,[1]Sheet1!P129)</f>
        <v>2644262.5526147932</v>
      </c>
      <c r="Q23" s="8">
        <f>SUM([1]Sheet1!Q27,[1]Sheet1!Q61,[1]Sheet1!Q95,[1]Sheet1!Q129)</f>
        <v>2607467.754745347</v>
      </c>
      <c r="R23" s="8">
        <f>SUM([1]Sheet1!R27,[1]Sheet1!R61,[1]Sheet1!R95,[1]Sheet1!R129)</f>
        <v>2571845.9367150427</v>
      </c>
      <c r="S23" s="8">
        <f>SUM([1]Sheet1!S27,[1]Sheet1!S61,[1]Sheet1!S95,[1]Sheet1!S129)</f>
        <v>2526937.2369979741</v>
      </c>
      <c r="T23" s="8"/>
      <c r="U23" s="8"/>
      <c r="V23" s="8"/>
      <c r="W23" s="8"/>
      <c r="X23" s="8"/>
      <c r="Y23" s="8"/>
      <c r="Z23" s="8"/>
      <c r="AA23" s="8"/>
      <c r="AB23" s="8"/>
      <c r="AC23" s="8"/>
      <c r="AD23" s="8"/>
      <c r="AE23" s="8"/>
    </row>
    <row r="24" spans="2:31">
      <c r="B24" s="4" t="s">
        <v>468</v>
      </c>
      <c r="C24" s="4" t="s">
        <v>456</v>
      </c>
      <c r="D24" s="8">
        <f>SUM([1]Sheet1!D28,[1]Sheet1!D62,[1]Sheet1!D96,[1]Sheet1!D130)</f>
        <v>1918966.6231761393</v>
      </c>
      <c r="E24" s="8">
        <f>SUM([1]Sheet1!E28,[1]Sheet1!E62,[1]Sheet1!E96,[1]Sheet1!E130)</f>
        <v>1936845.2591374554</v>
      </c>
      <c r="F24" s="8">
        <f>SUM([1]Sheet1!F28,[1]Sheet1!F62,[1]Sheet1!F96,[1]Sheet1!F130)</f>
        <v>1962772.8536281188</v>
      </c>
      <c r="G24" s="8">
        <f>SUM([1]Sheet1!G28,[1]Sheet1!G62,[1]Sheet1!G96,[1]Sheet1!G130)</f>
        <v>2005892.0603399104</v>
      </c>
      <c r="H24" s="8">
        <f>SUM([1]Sheet1!H28,[1]Sheet1!H62,[1]Sheet1!H96,[1]Sheet1!H130)</f>
        <v>2083509.2746003985</v>
      </c>
      <c r="I24" s="8">
        <f>SUM([1]Sheet1!I28,[1]Sheet1!I62,[1]Sheet1!I96,[1]Sheet1!I130)</f>
        <v>2176092.6744755041</v>
      </c>
      <c r="J24" s="8">
        <f>SUM([1]Sheet1!J28,[1]Sheet1!J62,[1]Sheet1!J96,[1]Sheet1!J130)</f>
        <v>2273059.0280612623</v>
      </c>
      <c r="K24" s="8">
        <f>SUM([1]Sheet1!K28,[1]Sheet1!K62,[1]Sheet1!K96,[1]Sheet1!K130)</f>
        <v>2368024.7514624433</v>
      </c>
      <c r="L24" s="8">
        <f>SUM([1]Sheet1!L28,[1]Sheet1!L62,[1]Sheet1!L96,[1]Sheet1!L130)</f>
        <v>2459304.5114334365</v>
      </c>
      <c r="M24" s="8">
        <f>SUM([1]Sheet1!M28,[1]Sheet1!M62,[1]Sheet1!M96,[1]Sheet1!M130)</f>
        <v>2534666.1892032642</v>
      </c>
      <c r="N24" s="8">
        <f>SUM([1]Sheet1!N28,[1]Sheet1!N62,[1]Sheet1!N96,[1]Sheet1!N130)</f>
        <v>2600507.0284008244</v>
      </c>
      <c r="O24" s="8">
        <f>SUM([1]Sheet1!O28,[1]Sheet1!O62,[1]Sheet1!O96,[1]Sheet1!O130)</f>
        <v>2662779.0364503008</v>
      </c>
      <c r="P24" s="8">
        <f>SUM([1]Sheet1!P28,[1]Sheet1!P62,[1]Sheet1!P96,[1]Sheet1!P130)</f>
        <v>2715430.3365264274</v>
      </c>
      <c r="Q24" s="8">
        <f>SUM([1]Sheet1!Q28,[1]Sheet1!Q62,[1]Sheet1!Q96,[1]Sheet1!Q130)</f>
        <v>2751872.7891952903</v>
      </c>
      <c r="R24" s="8">
        <f>SUM([1]Sheet1!R28,[1]Sheet1!R62,[1]Sheet1!R96,[1]Sheet1!R130)</f>
        <v>2765955.0211466602</v>
      </c>
      <c r="S24" s="8">
        <f>SUM([1]Sheet1!S28,[1]Sheet1!S62,[1]Sheet1!S96,[1]Sheet1!S130)</f>
        <v>2767011.8655370576</v>
      </c>
      <c r="T24" s="8"/>
      <c r="U24" s="8"/>
      <c r="V24" s="8"/>
      <c r="W24" s="8"/>
      <c r="X24" s="8"/>
      <c r="Y24" s="8"/>
      <c r="Z24" s="8"/>
      <c r="AA24" s="8"/>
      <c r="AB24" s="8"/>
      <c r="AC24" s="8"/>
      <c r="AD24" s="8"/>
      <c r="AE24" s="8"/>
    </row>
    <row r="25" spans="2:31">
      <c r="B25" s="4" t="s">
        <v>468</v>
      </c>
      <c r="C25" s="4" t="s">
        <v>457</v>
      </c>
      <c r="D25" s="8">
        <f>SUM([1]Sheet1!D29,[1]Sheet1!D63,[1]Sheet1!D97,[1]Sheet1!D131)</f>
        <v>1779414.1308026365</v>
      </c>
      <c r="E25" s="8">
        <f>SUM([1]Sheet1!E29,[1]Sheet1!E63,[1]Sheet1!E97,[1]Sheet1!E131)</f>
        <v>1787017.7849738379</v>
      </c>
      <c r="F25" s="8">
        <f>SUM([1]Sheet1!F29,[1]Sheet1!F63,[1]Sheet1!F97,[1]Sheet1!F131)</f>
        <v>1797127.0742289505</v>
      </c>
      <c r="G25" s="8">
        <f>SUM([1]Sheet1!G29,[1]Sheet1!G63,[1]Sheet1!G97,[1]Sheet1!G131)</f>
        <v>1806383.8900453988</v>
      </c>
      <c r="H25" s="8">
        <f>SUM([1]Sheet1!H29,[1]Sheet1!H63,[1]Sheet1!H97,[1]Sheet1!H131)</f>
        <v>1817188.2010282455</v>
      </c>
      <c r="I25" s="8">
        <f>SUM([1]Sheet1!I29,[1]Sheet1!I63,[1]Sheet1!I97,[1]Sheet1!I131)</f>
        <v>1832439.1643527753</v>
      </c>
      <c r="J25" s="8">
        <f>SUM([1]Sheet1!J29,[1]Sheet1!J63,[1]Sheet1!J97,[1]Sheet1!J131)</f>
        <v>1856654.7403300449</v>
      </c>
      <c r="K25" s="8">
        <f>SUM([1]Sheet1!K29,[1]Sheet1!K63,[1]Sheet1!K97,[1]Sheet1!K131)</f>
        <v>1892144.2161354907</v>
      </c>
      <c r="L25" s="8">
        <f>SUM([1]Sheet1!L29,[1]Sheet1!L63,[1]Sheet1!L97,[1]Sheet1!L131)</f>
        <v>1946646.0880797545</v>
      </c>
      <c r="M25" s="8">
        <f>SUM([1]Sheet1!M29,[1]Sheet1!M63,[1]Sheet1!M97,[1]Sheet1!M131)</f>
        <v>2035731.8268357639</v>
      </c>
      <c r="N25" s="8">
        <f>SUM([1]Sheet1!N29,[1]Sheet1!N63,[1]Sheet1!N97,[1]Sheet1!N131)</f>
        <v>2138965.9563517049</v>
      </c>
      <c r="O25" s="8">
        <f>SUM([1]Sheet1!O29,[1]Sheet1!O63,[1]Sheet1!O97,[1]Sheet1!O131)</f>
        <v>2246129.3752120649</v>
      </c>
      <c r="P25" s="8">
        <f>SUM([1]Sheet1!P29,[1]Sheet1!P63,[1]Sheet1!P97,[1]Sheet1!P131)</f>
        <v>2351029.1590842283</v>
      </c>
      <c r="Q25" s="8">
        <f>SUM([1]Sheet1!Q29,[1]Sheet1!Q63,[1]Sheet1!Q97,[1]Sheet1!Q131)</f>
        <v>2452317.6107869637</v>
      </c>
      <c r="R25" s="8">
        <f>SUM([1]Sheet1!R29,[1]Sheet1!R63,[1]Sheet1!R97,[1]Sheet1!R131)</f>
        <v>2539363.2227157126</v>
      </c>
      <c r="S25" s="8">
        <f>SUM([1]Sheet1!S29,[1]Sheet1!S63,[1]Sheet1!S97,[1]Sheet1!S131)</f>
        <v>2618476.1925114365</v>
      </c>
      <c r="T25" s="8"/>
      <c r="U25" s="8"/>
      <c r="V25" s="8"/>
      <c r="W25" s="8"/>
      <c r="X25" s="8"/>
      <c r="Y25" s="8"/>
      <c r="Z25" s="8"/>
      <c r="AA25" s="8"/>
      <c r="AB25" s="8"/>
      <c r="AC25" s="8"/>
      <c r="AD25" s="8"/>
      <c r="AE25" s="8"/>
    </row>
    <row r="26" spans="2:31">
      <c r="B26" s="4" t="s">
        <v>468</v>
      </c>
      <c r="C26" s="4" t="s">
        <v>458</v>
      </c>
      <c r="D26" s="8">
        <f>SUM([1]Sheet1!D30,[1]Sheet1!D64,[1]Sheet1!D98,[1]Sheet1!D132)</f>
        <v>1642096.0319126931</v>
      </c>
      <c r="E26" s="8">
        <f>SUM([1]Sheet1!E30,[1]Sheet1!E64,[1]Sheet1!E98,[1]Sheet1!E132)</f>
        <v>1648393.6499930636</v>
      </c>
      <c r="F26" s="8">
        <f>SUM([1]Sheet1!F30,[1]Sheet1!F64,[1]Sheet1!F98,[1]Sheet1!F132)</f>
        <v>1647080.5279278457</v>
      </c>
      <c r="G26" s="8">
        <f>SUM([1]Sheet1!G30,[1]Sheet1!G64,[1]Sheet1!G98,[1]Sheet1!G132)</f>
        <v>1641368.6063667263</v>
      </c>
      <c r="H26" s="8">
        <f>SUM([1]Sheet1!H30,[1]Sheet1!H64,[1]Sheet1!H98,[1]Sheet1!H132)</f>
        <v>1631613.6750165252</v>
      </c>
      <c r="I26" s="8">
        <f>SUM([1]Sheet1!I30,[1]Sheet1!I64,[1]Sheet1!I98,[1]Sheet1!I132)</f>
        <v>1628201.3243612831</v>
      </c>
      <c r="J26" s="8">
        <f>SUM([1]Sheet1!J30,[1]Sheet1!J64,[1]Sheet1!J98,[1]Sheet1!J132)</f>
        <v>1635076.4155470517</v>
      </c>
      <c r="K26" s="8">
        <f>SUM([1]Sheet1!K30,[1]Sheet1!K64,[1]Sheet1!K98,[1]Sheet1!K132)</f>
        <v>1650240.4194820663</v>
      </c>
      <c r="L26" s="8">
        <f>SUM([1]Sheet1!L30,[1]Sheet1!L64,[1]Sheet1!L98,[1]Sheet1!L132)</f>
        <v>1672263.0024591764</v>
      </c>
      <c r="M26" s="8">
        <f>SUM([1]Sheet1!M30,[1]Sheet1!M64,[1]Sheet1!M98,[1]Sheet1!M132)</f>
        <v>1701559.395333298</v>
      </c>
      <c r="N26" s="8">
        <f>SUM([1]Sheet1!N30,[1]Sheet1!N64,[1]Sheet1!N98,[1]Sheet1!N132)</f>
        <v>1734822.4567588056</v>
      </c>
      <c r="O26" s="8">
        <f>SUM([1]Sheet1!O30,[1]Sheet1!O64,[1]Sheet1!O98,[1]Sheet1!O132)</f>
        <v>1774881.7709789607</v>
      </c>
      <c r="P26" s="8">
        <f>SUM([1]Sheet1!P30,[1]Sheet1!P64,[1]Sheet1!P98,[1]Sheet1!P132)</f>
        <v>1824490.1330635822</v>
      </c>
      <c r="Q26" s="8">
        <f>SUM([1]Sheet1!Q30,[1]Sheet1!Q64,[1]Sheet1!Q98,[1]Sheet1!Q132)</f>
        <v>1889949.5009571237</v>
      </c>
      <c r="R26" s="8">
        <f>SUM([1]Sheet1!R30,[1]Sheet1!R64,[1]Sheet1!R98,[1]Sheet1!R132)</f>
        <v>1988075.9628010623</v>
      </c>
      <c r="S26" s="8">
        <f>SUM([1]Sheet1!S30,[1]Sheet1!S64,[1]Sheet1!S98,[1]Sheet1!S132)</f>
        <v>2100757.0553932535</v>
      </c>
      <c r="T26" s="8"/>
      <c r="U26" s="8"/>
      <c r="V26" s="8"/>
      <c r="W26" s="8"/>
      <c r="X26" s="8"/>
      <c r="Y26" s="8"/>
      <c r="Z26" s="8"/>
      <c r="AA26" s="8"/>
      <c r="AB26" s="8"/>
      <c r="AC26" s="8"/>
      <c r="AD26" s="8"/>
      <c r="AE26" s="8"/>
    </row>
    <row r="27" spans="2:31">
      <c r="B27" s="4" t="s">
        <v>468</v>
      </c>
      <c r="C27" s="4" t="s">
        <v>459</v>
      </c>
      <c r="D27" s="8">
        <f>SUM([1]Sheet1!D31,[1]Sheet1!D65,[1]Sheet1!D99,[1]Sheet1!D133)</f>
        <v>1402027.6533103944</v>
      </c>
      <c r="E27" s="8">
        <f>SUM([1]Sheet1!E31,[1]Sheet1!E65,[1]Sheet1!E99,[1]Sheet1!E133)</f>
        <v>1426047.7995350808</v>
      </c>
      <c r="F27" s="8">
        <f>SUM([1]Sheet1!F31,[1]Sheet1!F65,[1]Sheet1!F99,[1]Sheet1!F133)</f>
        <v>1446181.6642364541</v>
      </c>
      <c r="G27" s="8">
        <f>SUM([1]Sheet1!G31,[1]Sheet1!G65,[1]Sheet1!G99,[1]Sheet1!G133)</f>
        <v>1462550.4670548316</v>
      </c>
      <c r="H27" s="8">
        <f>SUM([1]Sheet1!H31,[1]Sheet1!H65,[1]Sheet1!H99,[1]Sheet1!H133)</f>
        <v>1475326.5846899678</v>
      </c>
      <c r="I27" s="8">
        <f>SUM([1]Sheet1!I31,[1]Sheet1!I65,[1]Sheet1!I99,[1]Sheet1!I133)</f>
        <v>1480037.3834871426</v>
      </c>
      <c r="J27" s="8">
        <f>SUM([1]Sheet1!J31,[1]Sheet1!J65,[1]Sheet1!J99,[1]Sheet1!J133)</f>
        <v>1482362.1489303811</v>
      </c>
      <c r="K27" s="8">
        <f>SUM([1]Sheet1!K31,[1]Sheet1!K65,[1]Sheet1!K99,[1]Sheet1!K133)</f>
        <v>1482190.3740225662</v>
      </c>
      <c r="L27" s="8">
        <f>SUM([1]Sheet1!L31,[1]Sheet1!L65,[1]Sheet1!L99,[1]Sheet1!L133)</f>
        <v>1485350.6397509773</v>
      </c>
      <c r="M27" s="8">
        <f>SUM([1]Sheet1!M31,[1]Sheet1!M65,[1]Sheet1!M99,[1]Sheet1!M133)</f>
        <v>1491688.9758731932</v>
      </c>
      <c r="N27" s="8">
        <f>SUM([1]Sheet1!N31,[1]Sheet1!N65,[1]Sheet1!N99,[1]Sheet1!N133)</f>
        <v>1504514.6858033591</v>
      </c>
      <c r="O27" s="8">
        <f>SUM([1]Sheet1!O31,[1]Sheet1!O65,[1]Sheet1!O99,[1]Sheet1!O133)</f>
        <v>1526365.4917804026</v>
      </c>
      <c r="P27" s="8">
        <f>SUM([1]Sheet1!P31,[1]Sheet1!P65,[1]Sheet1!P99,[1]Sheet1!P133)</f>
        <v>1555757.569276219</v>
      </c>
      <c r="Q27" s="8">
        <f>SUM([1]Sheet1!Q31,[1]Sheet1!Q65,[1]Sheet1!Q99,[1]Sheet1!Q133)</f>
        <v>1588360.6352088826</v>
      </c>
      <c r="R27" s="8">
        <f>SUM([1]Sheet1!R31,[1]Sheet1!R65,[1]Sheet1!R99,[1]Sheet1!R133)</f>
        <v>1625854.9578729572</v>
      </c>
      <c r="S27" s="8">
        <f>SUM([1]Sheet1!S31,[1]Sheet1!S65,[1]Sheet1!S99,[1]Sheet1!S133)</f>
        <v>1667342.4943241491</v>
      </c>
      <c r="T27" s="8"/>
      <c r="U27" s="8"/>
      <c r="V27" s="8"/>
      <c r="W27" s="8"/>
      <c r="X27" s="8"/>
      <c r="Y27" s="8"/>
      <c r="Z27" s="8"/>
      <c r="AA27" s="8"/>
      <c r="AB27" s="8"/>
      <c r="AC27" s="8"/>
      <c r="AD27" s="8"/>
      <c r="AE27" s="8"/>
    </row>
    <row r="28" spans="2:31">
      <c r="B28" s="4" t="s">
        <v>468</v>
      </c>
      <c r="C28" s="4" t="s">
        <v>460</v>
      </c>
      <c r="D28" s="8">
        <f>SUM([1]Sheet1!D32,[1]Sheet1!D66,[1]Sheet1!D100,[1]Sheet1!D134)</f>
        <v>1185286.6686835042</v>
      </c>
      <c r="E28" s="8">
        <f>SUM([1]Sheet1!E32,[1]Sheet1!E66,[1]Sheet1!E100,[1]Sheet1!E134)</f>
        <v>1212180.0515144523</v>
      </c>
      <c r="F28" s="8">
        <f>SUM([1]Sheet1!F32,[1]Sheet1!F66,[1]Sheet1!F100,[1]Sheet1!F134)</f>
        <v>1229803.7698387392</v>
      </c>
      <c r="G28" s="8">
        <f>SUM([1]Sheet1!G32,[1]Sheet1!G66,[1]Sheet1!G100,[1]Sheet1!G134)</f>
        <v>1244678.3021730746</v>
      </c>
      <c r="H28" s="8">
        <f>SUM([1]Sheet1!H32,[1]Sheet1!H66,[1]Sheet1!H100,[1]Sheet1!H134)</f>
        <v>1257151.5344251695</v>
      </c>
      <c r="I28" s="8">
        <f>SUM([1]Sheet1!I32,[1]Sheet1!I66,[1]Sheet1!I100,[1]Sheet1!I134)</f>
        <v>1276536.1545844849</v>
      </c>
      <c r="J28" s="8">
        <f>SUM([1]Sheet1!J32,[1]Sheet1!J66,[1]Sheet1!J100,[1]Sheet1!J134)</f>
        <v>1295031.4997696059</v>
      </c>
      <c r="K28" s="8">
        <f>SUM([1]Sheet1!K32,[1]Sheet1!K66,[1]Sheet1!K100,[1]Sheet1!K134)</f>
        <v>1313293.3848658907</v>
      </c>
      <c r="L28" s="8">
        <f>SUM([1]Sheet1!L32,[1]Sheet1!L66,[1]Sheet1!L100,[1]Sheet1!L134)</f>
        <v>1332685.5720439134</v>
      </c>
      <c r="M28" s="8">
        <f>SUM([1]Sheet1!M32,[1]Sheet1!M66,[1]Sheet1!M100,[1]Sheet1!M134)</f>
        <v>1353404.6592401951</v>
      </c>
      <c r="N28" s="8">
        <f>SUM([1]Sheet1!N32,[1]Sheet1!N66,[1]Sheet1!N100,[1]Sheet1!N134)</f>
        <v>1367540.3781677291</v>
      </c>
      <c r="O28" s="8">
        <f>SUM([1]Sheet1!O32,[1]Sheet1!O66,[1]Sheet1!O100,[1]Sheet1!O134)</f>
        <v>1379252.9572288836</v>
      </c>
      <c r="P28" s="8">
        <f>SUM([1]Sheet1!P32,[1]Sheet1!P66,[1]Sheet1!P100,[1]Sheet1!P134)</f>
        <v>1389633.6552545663</v>
      </c>
      <c r="Q28" s="8">
        <f>SUM([1]Sheet1!Q32,[1]Sheet1!Q66,[1]Sheet1!Q100,[1]Sheet1!Q134)</f>
        <v>1400866.5597875512</v>
      </c>
      <c r="R28" s="8">
        <f>SUM([1]Sheet1!R32,[1]Sheet1!R66,[1]Sheet1!R100,[1]Sheet1!R134)</f>
        <v>1413409.8626961482</v>
      </c>
      <c r="S28" s="8">
        <f>SUM([1]Sheet1!S32,[1]Sheet1!S66,[1]Sheet1!S100,[1]Sheet1!S134)</f>
        <v>1431997.4800720459</v>
      </c>
      <c r="T28" s="8"/>
      <c r="U28" s="8"/>
      <c r="V28" s="8"/>
      <c r="W28" s="8"/>
      <c r="X28" s="8"/>
      <c r="Y28" s="8"/>
      <c r="Z28" s="8"/>
      <c r="AA28" s="8"/>
      <c r="AB28" s="8"/>
      <c r="AC28" s="8"/>
      <c r="AD28" s="8"/>
      <c r="AE28" s="8"/>
    </row>
    <row r="29" spans="2:31">
      <c r="B29" s="4" t="s">
        <v>468</v>
      </c>
      <c r="C29" s="4" t="s">
        <v>461</v>
      </c>
      <c r="D29" s="8">
        <f>SUM([1]Sheet1!D33,[1]Sheet1!D67,[1]Sheet1!D101,[1]Sheet1!D135)</f>
        <v>949477.85179764708</v>
      </c>
      <c r="E29" s="8">
        <f>SUM([1]Sheet1!E33,[1]Sheet1!E67,[1]Sheet1!E101,[1]Sheet1!E135)</f>
        <v>976492.80186084006</v>
      </c>
      <c r="F29" s="8">
        <f>SUM([1]Sheet1!F33,[1]Sheet1!F67,[1]Sheet1!F101,[1]Sheet1!F135)</f>
        <v>1005786.1024701957</v>
      </c>
      <c r="G29" s="8">
        <f>SUM([1]Sheet1!G33,[1]Sheet1!G67,[1]Sheet1!G101,[1]Sheet1!G135)</f>
        <v>1031518.1793366233</v>
      </c>
      <c r="H29" s="8">
        <f>SUM([1]Sheet1!H33,[1]Sheet1!H67,[1]Sheet1!H101,[1]Sheet1!H135)</f>
        <v>1053524.1967533669</v>
      </c>
      <c r="I29" s="8">
        <f>SUM([1]Sheet1!I33,[1]Sheet1!I67,[1]Sheet1!I101,[1]Sheet1!I135)</f>
        <v>1073534.8238687986</v>
      </c>
      <c r="J29" s="8">
        <f>SUM([1]Sheet1!J33,[1]Sheet1!J67,[1]Sheet1!J101,[1]Sheet1!J135)</f>
        <v>1096342.3754344778</v>
      </c>
      <c r="K29" s="8">
        <f>SUM([1]Sheet1!K33,[1]Sheet1!K67,[1]Sheet1!K101,[1]Sheet1!K135)</f>
        <v>1113999.7931359564</v>
      </c>
      <c r="L29" s="8">
        <f>SUM([1]Sheet1!L33,[1]Sheet1!L67,[1]Sheet1!L101,[1]Sheet1!L135)</f>
        <v>1132558.8040899944</v>
      </c>
      <c r="M29" s="8">
        <f>SUM([1]Sheet1!M33,[1]Sheet1!M67,[1]Sheet1!M101,[1]Sheet1!M135)</f>
        <v>1151946.2506453583</v>
      </c>
      <c r="N29" s="8">
        <f>SUM([1]Sheet1!N33,[1]Sheet1!N67,[1]Sheet1!N101,[1]Sheet1!N135)</f>
        <v>1177523.7123978955</v>
      </c>
      <c r="O29" s="8">
        <f>SUM([1]Sheet1!O33,[1]Sheet1!O67,[1]Sheet1!O101,[1]Sheet1!O135)</f>
        <v>1201280.2350876799</v>
      </c>
      <c r="P29" s="8">
        <f>SUM([1]Sheet1!P33,[1]Sheet1!P67,[1]Sheet1!P101,[1]Sheet1!P135)</f>
        <v>1225141.2891459153</v>
      </c>
      <c r="Q29" s="8">
        <f>SUM([1]Sheet1!Q33,[1]Sheet1!Q67,[1]Sheet1!Q101,[1]Sheet1!Q135)</f>
        <v>1249018.712737343</v>
      </c>
      <c r="R29" s="8">
        <f>SUM([1]Sheet1!R33,[1]Sheet1!R67,[1]Sheet1!R101,[1]Sheet1!R135)</f>
        <v>1273231.8512455069</v>
      </c>
      <c r="S29" s="8">
        <f>SUM([1]Sheet1!S33,[1]Sheet1!S67,[1]Sheet1!S101,[1]Sheet1!S135)</f>
        <v>1291517.6332961721</v>
      </c>
      <c r="T29" s="8"/>
      <c r="U29" s="8"/>
      <c r="V29" s="8"/>
      <c r="W29" s="8"/>
      <c r="X29" s="8"/>
      <c r="Y29" s="8"/>
      <c r="Z29" s="8"/>
      <c r="AA29" s="8"/>
      <c r="AB29" s="8"/>
      <c r="AC29" s="8"/>
      <c r="AD29" s="8"/>
      <c r="AE29" s="8"/>
    </row>
    <row r="30" spans="2:31">
      <c r="B30" s="4" t="s">
        <v>468</v>
      </c>
      <c r="C30" s="4" t="s">
        <v>462</v>
      </c>
      <c r="D30" s="8">
        <f>SUM([1]Sheet1!D34,[1]Sheet1!D68,[1]Sheet1!D102,[1]Sheet1!D136)</f>
        <v>722286.31152572401</v>
      </c>
      <c r="E30" s="8">
        <f>SUM([1]Sheet1!E34,[1]Sheet1!E68,[1]Sheet1!E102,[1]Sheet1!E136)</f>
        <v>751445.26964750851</v>
      </c>
      <c r="F30" s="8">
        <f>SUM([1]Sheet1!F34,[1]Sheet1!F68,[1]Sheet1!F102,[1]Sheet1!F136)</f>
        <v>780700.01735918457</v>
      </c>
      <c r="G30" s="8">
        <f>SUM([1]Sheet1!G34,[1]Sheet1!G68,[1]Sheet1!G102,[1]Sheet1!G136)</f>
        <v>808676.66620096704</v>
      </c>
      <c r="H30" s="8">
        <f>SUM([1]Sheet1!H34,[1]Sheet1!H68,[1]Sheet1!H102,[1]Sheet1!H136)</f>
        <v>835139.93541952025</v>
      </c>
      <c r="I30" s="8">
        <f>SUM([1]Sheet1!I34,[1]Sheet1!I68,[1]Sheet1!I102,[1]Sheet1!I136)</f>
        <v>860929.8657717224</v>
      </c>
      <c r="J30" s="8">
        <f>SUM([1]Sheet1!J34,[1]Sheet1!J68,[1]Sheet1!J102,[1]Sheet1!J136)</f>
        <v>884138.63359455473</v>
      </c>
      <c r="K30" s="8">
        <f>SUM([1]Sheet1!K34,[1]Sheet1!K68,[1]Sheet1!K102,[1]Sheet1!K136)</f>
        <v>911154.6441733609</v>
      </c>
      <c r="L30" s="8">
        <f>SUM([1]Sheet1!L34,[1]Sheet1!L68,[1]Sheet1!L102,[1]Sheet1!L136)</f>
        <v>937038.00349771907</v>
      </c>
      <c r="M30" s="8">
        <f>SUM([1]Sheet1!M34,[1]Sheet1!M68,[1]Sheet1!M102,[1]Sheet1!M136)</f>
        <v>961567.6688079806</v>
      </c>
      <c r="N30" s="8">
        <f>SUM([1]Sheet1!N34,[1]Sheet1!N68,[1]Sheet1!N102,[1]Sheet1!N136)</f>
        <v>984498.89171542064</v>
      </c>
      <c r="O30" s="8">
        <f>SUM([1]Sheet1!O34,[1]Sheet1!O68,[1]Sheet1!O102,[1]Sheet1!O136)</f>
        <v>1009743.010148451</v>
      </c>
      <c r="P30" s="8">
        <f>SUM([1]Sheet1!P34,[1]Sheet1!P68,[1]Sheet1!P102,[1]Sheet1!P136)</f>
        <v>1030315.2787757871</v>
      </c>
      <c r="Q30" s="8">
        <f>SUM([1]Sheet1!Q34,[1]Sheet1!Q68,[1]Sheet1!Q102,[1]Sheet1!Q136)</f>
        <v>1051283.4096340458</v>
      </c>
      <c r="R30" s="8">
        <f>SUM([1]Sheet1!R34,[1]Sheet1!R68,[1]Sheet1!R102,[1]Sheet1!R136)</f>
        <v>1072703.858067486</v>
      </c>
      <c r="S30" s="8">
        <f>SUM([1]Sheet1!S34,[1]Sheet1!S68,[1]Sheet1!S102,[1]Sheet1!S136)</f>
        <v>1100143.2667125042</v>
      </c>
      <c r="T30" s="8"/>
      <c r="U30" s="8"/>
      <c r="V30" s="8"/>
      <c r="W30" s="8"/>
      <c r="X30" s="8"/>
      <c r="Y30" s="8"/>
      <c r="Z30" s="8"/>
      <c r="AA30" s="8"/>
      <c r="AB30" s="8"/>
      <c r="AC30" s="8"/>
      <c r="AD30" s="8"/>
      <c r="AE30" s="8"/>
    </row>
    <row r="31" spans="2:31">
      <c r="B31" s="4" t="s">
        <v>468</v>
      </c>
      <c r="C31" s="4" t="s">
        <v>463</v>
      </c>
      <c r="D31" s="8">
        <f>SUM([1]Sheet1!D35,[1]Sheet1!D69,[1]Sheet1!D103,[1]Sheet1!D137)</f>
        <v>579859.29014261323</v>
      </c>
      <c r="E31" s="8">
        <f>SUM([1]Sheet1!E35,[1]Sheet1!E69,[1]Sheet1!E103,[1]Sheet1!E137)</f>
        <v>586477.31331067183</v>
      </c>
      <c r="F31" s="8">
        <f>SUM([1]Sheet1!F35,[1]Sheet1!F69,[1]Sheet1!F103,[1]Sheet1!F137)</f>
        <v>595533.83680261485</v>
      </c>
      <c r="G31" s="8">
        <f>SUM([1]Sheet1!G35,[1]Sheet1!G69,[1]Sheet1!G103,[1]Sheet1!G137)</f>
        <v>608700.04422071343</v>
      </c>
      <c r="H31" s="8">
        <f>SUM([1]Sheet1!H35,[1]Sheet1!H69,[1]Sheet1!H103,[1]Sheet1!H137)</f>
        <v>626289.22538925754</v>
      </c>
      <c r="I31" s="8">
        <f>SUM([1]Sheet1!I35,[1]Sheet1!I69,[1]Sheet1!I103,[1]Sheet1!I137)</f>
        <v>647565.07854951243</v>
      </c>
      <c r="J31" s="8">
        <f>SUM([1]Sheet1!J35,[1]Sheet1!J69,[1]Sheet1!J103,[1]Sheet1!J137)</f>
        <v>672946.84471890365</v>
      </c>
      <c r="K31" s="8">
        <f>SUM([1]Sheet1!K35,[1]Sheet1!K69,[1]Sheet1!K103,[1]Sheet1!K137)</f>
        <v>699478.09910990647</v>
      </c>
      <c r="L31" s="8">
        <f>SUM([1]Sheet1!L35,[1]Sheet1!L69,[1]Sheet1!L103,[1]Sheet1!L137)</f>
        <v>725921.38743100991</v>
      </c>
      <c r="M31" s="8">
        <f>SUM([1]Sheet1!M35,[1]Sheet1!M69,[1]Sheet1!M103,[1]Sheet1!M137)</f>
        <v>752044.31814723578</v>
      </c>
      <c r="N31" s="8">
        <f>SUM([1]Sheet1!N35,[1]Sheet1!N69,[1]Sheet1!N103,[1]Sheet1!N137)</f>
        <v>777887.54297075444</v>
      </c>
      <c r="O31" s="8">
        <f>SUM([1]Sheet1!O35,[1]Sheet1!O69,[1]Sheet1!O103,[1]Sheet1!O137)</f>
        <v>801253.22127470886</v>
      </c>
      <c r="P31" s="8">
        <f>SUM([1]Sheet1!P35,[1]Sheet1!P69,[1]Sheet1!P103,[1]Sheet1!P137)</f>
        <v>828062.99635831313</v>
      </c>
      <c r="Q31" s="8">
        <f>SUM([1]Sheet1!Q35,[1]Sheet1!Q69,[1]Sheet1!Q103,[1]Sheet1!Q137)</f>
        <v>853879.26115851279</v>
      </c>
      <c r="R31" s="8">
        <f>SUM([1]Sheet1!R35,[1]Sheet1!R69,[1]Sheet1!R103,[1]Sheet1!R137)</f>
        <v>878542.47269662272</v>
      </c>
      <c r="S31" s="8">
        <f>SUM([1]Sheet1!S35,[1]Sheet1!S69,[1]Sheet1!S103,[1]Sheet1!S137)</f>
        <v>902078.93905384885</v>
      </c>
      <c r="T31" s="8"/>
      <c r="U31" s="8"/>
      <c r="V31" s="8"/>
      <c r="W31" s="8"/>
      <c r="X31" s="8"/>
      <c r="Y31" s="8"/>
      <c r="Z31" s="8"/>
      <c r="AA31" s="8"/>
      <c r="AB31" s="8"/>
      <c r="AC31" s="8"/>
      <c r="AD31" s="8"/>
      <c r="AE31" s="8"/>
    </row>
    <row r="32" spans="2:31">
      <c r="B32" s="4" t="s">
        <v>468</v>
      </c>
      <c r="C32" s="4" t="s">
        <v>464</v>
      </c>
      <c r="D32" s="8">
        <f>SUM([1]Sheet1!D36,[1]Sheet1!D70,[1]Sheet1!D104,[1]Sheet1!D138)</f>
        <v>474393.72675805382</v>
      </c>
      <c r="E32" s="8">
        <f>SUM([1]Sheet1!E36,[1]Sheet1!E70,[1]Sheet1!E104,[1]Sheet1!E138)</f>
        <v>481697.57829761948</v>
      </c>
      <c r="F32" s="8">
        <f>SUM([1]Sheet1!F36,[1]Sheet1!F70,[1]Sheet1!F104,[1]Sheet1!F138)</f>
        <v>489029.48482408392</v>
      </c>
      <c r="G32" s="8">
        <f>SUM([1]Sheet1!G36,[1]Sheet1!G70,[1]Sheet1!G104,[1]Sheet1!G138)</f>
        <v>495387.36403490871</v>
      </c>
      <c r="H32" s="8">
        <f>SUM([1]Sheet1!H36,[1]Sheet1!H70,[1]Sheet1!H104,[1]Sheet1!H138)</f>
        <v>500270.85879412753</v>
      </c>
      <c r="I32" s="8">
        <f>SUM([1]Sheet1!I36,[1]Sheet1!I70,[1]Sheet1!I104,[1]Sheet1!I138)</f>
        <v>505209.03593906056</v>
      </c>
      <c r="J32" s="8">
        <f>SUM([1]Sheet1!J36,[1]Sheet1!J70,[1]Sheet1!J104,[1]Sheet1!J138)</f>
        <v>510586.15628505149</v>
      </c>
      <c r="K32" s="8">
        <f>SUM([1]Sheet1!K36,[1]Sheet1!K70,[1]Sheet1!K104,[1]Sheet1!K138)</f>
        <v>518760.87387394276</v>
      </c>
      <c r="L32" s="8">
        <f>SUM([1]Sheet1!L36,[1]Sheet1!L70,[1]Sheet1!L104,[1]Sheet1!L138)</f>
        <v>531047.17987147928</v>
      </c>
      <c r="M32" s="8">
        <f>SUM([1]Sheet1!M36,[1]Sheet1!M70,[1]Sheet1!M104,[1]Sheet1!M138)</f>
        <v>547708.14483689226</v>
      </c>
      <c r="N32" s="8">
        <f>SUM([1]Sheet1!N36,[1]Sheet1!N70,[1]Sheet1!N104,[1]Sheet1!N138)</f>
        <v>567858.4387986362</v>
      </c>
      <c r="O32" s="8">
        <f>SUM([1]Sheet1!O36,[1]Sheet1!O70,[1]Sheet1!O104,[1]Sheet1!O138)</f>
        <v>591642.34661036427</v>
      </c>
      <c r="P32" s="8">
        <f>SUM([1]Sheet1!P36,[1]Sheet1!P70,[1]Sheet1!P104,[1]Sheet1!P138)</f>
        <v>616439.74896170851</v>
      </c>
      <c r="Q32" s="8">
        <f>SUM([1]Sheet1!Q36,[1]Sheet1!Q70,[1]Sheet1!Q104,[1]Sheet1!Q138)</f>
        <v>641350.96363445348</v>
      </c>
      <c r="R32" s="8">
        <f>SUM([1]Sheet1!R36,[1]Sheet1!R70,[1]Sheet1!R104,[1]Sheet1!R138)</f>
        <v>666207.04724138102</v>
      </c>
      <c r="S32" s="8">
        <f>SUM([1]Sheet1!S36,[1]Sheet1!S70,[1]Sheet1!S104,[1]Sheet1!S138)</f>
        <v>691114.03464364796</v>
      </c>
      <c r="T32" s="8"/>
      <c r="U32" s="8"/>
      <c r="V32" s="8"/>
      <c r="W32" s="8"/>
      <c r="X32" s="8"/>
      <c r="Y32" s="8"/>
      <c r="Z32" s="8"/>
      <c r="AA32" s="8"/>
      <c r="AB32" s="8"/>
      <c r="AC32" s="8"/>
      <c r="AD32" s="8"/>
      <c r="AE32" s="8"/>
    </row>
    <row r="33" spans="2:31">
      <c r="B33" s="4" t="s">
        <v>468</v>
      </c>
      <c r="C33" s="4" t="s">
        <v>465</v>
      </c>
      <c r="D33" s="8">
        <f>SUM([1]Sheet1!D37,[1]Sheet1!D71,[1]Sheet1!D105,[1]Sheet1!D139)</f>
        <v>371655.21540191141</v>
      </c>
      <c r="E33" s="8">
        <f>SUM([1]Sheet1!E37,[1]Sheet1!E71,[1]Sheet1!E105,[1]Sheet1!E139)</f>
        <v>374262.55318544857</v>
      </c>
      <c r="F33" s="8">
        <f>SUM([1]Sheet1!F37,[1]Sheet1!F71,[1]Sheet1!F105,[1]Sheet1!F139)</f>
        <v>377635.5146412683</v>
      </c>
      <c r="G33" s="8">
        <f>SUM([1]Sheet1!G37,[1]Sheet1!G71,[1]Sheet1!G105,[1]Sheet1!G139)</f>
        <v>381662.8191563515</v>
      </c>
      <c r="H33" s="8">
        <f>SUM([1]Sheet1!H37,[1]Sheet1!H71,[1]Sheet1!H105,[1]Sheet1!H139)</f>
        <v>386126.63213597931</v>
      </c>
      <c r="I33" s="8">
        <f>SUM([1]Sheet1!I37,[1]Sheet1!I71,[1]Sheet1!I105,[1]Sheet1!I139)</f>
        <v>390986.28367846907</v>
      </c>
      <c r="J33" s="8">
        <f>SUM([1]Sheet1!J37,[1]Sheet1!J71,[1]Sheet1!J105,[1]Sheet1!J139)</f>
        <v>397112.5560582694</v>
      </c>
      <c r="K33" s="8">
        <f>SUM([1]Sheet1!K37,[1]Sheet1!K71,[1]Sheet1!K105,[1]Sheet1!K139)</f>
        <v>403599.78575393872</v>
      </c>
      <c r="L33" s="8">
        <f>SUM([1]Sheet1!L37,[1]Sheet1!L71,[1]Sheet1!L105,[1]Sheet1!L139)</f>
        <v>409495.85077769245</v>
      </c>
      <c r="M33" s="8">
        <f>SUM([1]Sheet1!M37,[1]Sheet1!M71,[1]Sheet1!M105,[1]Sheet1!M139)</f>
        <v>414417.79793791129</v>
      </c>
      <c r="N33" s="8">
        <f>SUM([1]Sheet1!N37,[1]Sheet1!N71,[1]Sheet1!N105,[1]Sheet1!N139)</f>
        <v>419591.22075584409</v>
      </c>
      <c r="O33" s="8">
        <f>SUM([1]Sheet1!O37,[1]Sheet1!O71,[1]Sheet1!O105,[1]Sheet1!O139)</f>
        <v>425242.68091680575</v>
      </c>
      <c r="P33" s="8">
        <f>SUM([1]Sheet1!P37,[1]Sheet1!P71,[1]Sheet1!P105,[1]Sheet1!P139)</f>
        <v>433225.90586201468</v>
      </c>
      <c r="Q33" s="8">
        <f>SUM([1]Sheet1!Q37,[1]Sheet1!Q71,[1]Sheet1!Q105,[1]Sheet1!Q139)</f>
        <v>444868.43200232444</v>
      </c>
      <c r="R33" s="8">
        <f>SUM([1]Sheet1!R37,[1]Sheet1!R71,[1]Sheet1!R105,[1]Sheet1!R139)</f>
        <v>460368.13310133852</v>
      </c>
      <c r="S33" s="8">
        <f>SUM([1]Sheet1!S37,[1]Sheet1!S71,[1]Sheet1!S105,[1]Sheet1!S139)</f>
        <v>478972.09715614852</v>
      </c>
      <c r="T33" s="8"/>
      <c r="U33" s="8"/>
      <c r="V33" s="8"/>
      <c r="W33" s="8"/>
      <c r="X33" s="8"/>
      <c r="Y33" s="8"/>
      <c r="Z33" s="8"/>
      <c r="AA33" s="8"/>
      <c r="AB33" s="8"/>
      <c r="AC33" s="8"/>
      <c r="AD33" s="8"/>
      <c r="AE33" s="8"/>
    </row>
    <row r="34" spans="2:31">
      <c r="B34" s="4" t="s">
        <v>468</v>
      </c>
      <c r="C34" s="4" t="s">
        <v>466</v>
      </c>
      <c r="D34" s="8">
        <f>SUM([1]Sheet1!D38,[1]Sheet1!D72,[1]Sheet1!D106,[1]Sheet1!D140)</f>
        <v>273180.08970414061</v>
      </c>
      <c r="E34" s="8">
        <f>SUM([1]Sheet1!E38,[1]Sheet1!E72,[1]Sheet1!E106,[1]Sheet1!E140)</f>
        <v>274237.92090230854</v>
      </c>
      <c r="F34" s="8">
        <f>SUM([1]Sheet1!F38,[1]Sheet1!F72,[1]Sheet1!F106,[1]Sheet1!F140)</f>
        <v>275250.01956567977</v>
      </c>
      <c r="G34" s="8">
        <f>SUM([1]Sheet1!G38,[1]Sheet1!G72,[1]Sheet1!G106,[1]Sheet1!G140)</f>
        <v>276531.01584473439</v>
      </c>
      <c r="H34" s="8">
        <f>SUM([1]Sheet1!H38,[1]Sheet1!H72,[1]Sheet1!H106,[1]Sheet1!H140)</f>
        <v>278983.34139684984</v>
      </c>
      <c r="I34" s="8">
        <f>SUM([1]Sheet1!I38,[1]Sheet1!I72,[1]Sheet1!I106,[1]Sheet1!I140)</f>
        <v>280838.122807534</v>
      </c>
      <c r="J34" s="8">
        <f>SUM([1]Sheet1!J38,[1]Sheet1!J72,[1]Sheet1!J106,[1]Sheet1!J140)</f>
        <v>282987.5980975742</v>
      </c>
      <c r="K34" s="8">
        <f>SUM([1]Sheet1!K38,[1]Sheet1!K72,[1]Sheet1!K106,[1]Sheet1!K140)</f>
        <v>285919.23505151883</v>
      </c>
      <c r="L34" s="8">
        <f>SUM([1]Sheet1!L38,[1]Sheet1!L72,[1]Sheet1!L106,[1]Sheet1!L140)</f>
        <v>289540.11717371951</v>
      </c>
      <c r="M34" s="8">
        <f>SUM([1]Sheet1!M38,[1]Sheet1!M72,[1]Sheet1!M106,[1]Sheet1!M140)</f>
        <v>293762.26792329334</v>
      </c>
      <c r="N34" s="8">
        <f>SUM([1]Sheet1!N38,[1]Sheet1!N72,[1]Sheet1!N106,[1]Sheet1!N140)</f>
        <v>298556.00785643142</v>
      </c>
      <c r="O34" s="8">
        <f>SUM([1]Sheet1!O38,[1]Sheet1!O72,[1]Sheet1!O106,[1]Sheet1!O140)</f>
        <v>304423.30081952002</v>
      </c>
      <c r="P34" s="8">
        <f>SUM([1]Sheet1!P38,[1]Sheet1!P72,[1]Sheet1!P106,[1]Sheet1!P140)</f>
        <v>310506.63758250891</v>
      </c>
      <c r="Q34" s="8">
        <f>SUM([1]Sheet1!Q38,[1]Sheet1!Q72,[1]Sheet1!Q106,[1]Sheet1!Q140)</f>
        <v>316277.6135772444</v>
      </c>
      <c r="R34" s="8">
        <f>SUM([1]Sheet1!R38,[1]Sheet1!R72,[1]Sheet1!R106,[1]Sheet1!R140)</f>
        <v>321439.12865788431</v>
      </c>
      <c r="S34" s="8">
        <f>SUM([1]Sheet1!S38,[1]Sheet1!S72,[1]Sheet1!S106,[1]Sheet1!S140)</f>
        <v>326870.72170895565</v>
      </c>
      <c r="T34" s="8"/>
      <c r="U34" s="8"/>
      <c r="V34" s="8"/>
      <c r="W34" s="8"/>
      <c r="X34" s="8"/>
      <c r="Y34" s="8"/>
      <c r="Z34" s="8"/>
      <c r="AA34" s="8"/>
      <c r="AB34" s="8"/>
      <c r="AC34" s="8"/>
      <c r="AD34" s="8"/>
      <c r="AE34" s="8"/>
    </row>
    <row r="35" spans="2:31">
      <c r="B35" s="4" t="s">
        <v>468</v>
      </c>
      <c r="C35" s="4" t="s">
        <v>467</v>
      </c>
      <c r="D35" s="8">
        <f>SUM([1]Sheet1!D39,[1]Sheet1!D73,[1]Sheet1!D107,[1]Sheet1!D141)</f>
        <v>279694.58470269787</v>
      </c>
      <c r="E35" s="8">
        <f>SUM([1]Sheet1!E39,[1]Sheet1!E73,[1]Sheet1!E107,[1]Sheet1!E141)</f>
        <v>285227.91579977877</v>
      </c>
      <c r="F35" s="8">
        <f>SUM([1]Sheet1!F39,[1]Sheet1!F73,[1]Sheet1!F107,[1]Sheet1!F141)</f>
        <v>290369.87766233098</v>
      </c>
      <c r="G35" s="8">
        <f>SUM([1]Sheet1!G39,[1]Sheet1!G73,[1]Sheet1!G107,[1]Sheet1!G141)</f>
        <v>295228.92253892811</v>
      </c>
      <c r="H35" s="8">
        <f>SUM([1]Sheet1!H39,[1]Sheet1!H73,[1]Sheet1!H107,[1]Sheet1!H141)</f>
        <v>299361.22032538132</v>
      </c>
      <c r="I35" s="8">
        <f>SUM([1]Sheet1!I39,[1]Sheet1!I73,[1]Sheet1!I107,[1]Sheet1!I141)</f>
        <v>303288.75716719771</v>
      </c>
      <c r="J35" s="8">
        <f>SUM([1]Sheet1!J39,[1]Sheet1!J73,[1]Sheet1!J107,[1]Sheet1!J141)</f>
        <v>307157.49394098669</v>
      </c>
      <c r="K35" s="8">
        <f>SUM([1]Sheet1!K39,[1]Sheet1!K73,[1]Sheet1!K107,[1]Sheet1!K141)</f>
        <v>310937.40360830061</v>
      </c>
      <c r="L35" s="8">
        <f>SUM([1]Sheet1!L39,[1]Sheet1!L73,[1]Sheet1!L107,[1]Sheet1!L141)</f>
        <v>314828.56950708933</v>
      </c>
      <c r="M35" s="8">
        <f>SUM([1]Sheet1!M39,[1]Sheet1!M73,[1]Sheet1!M107,[1]Sheet1!M141)</f>
        <v>319165.179527862</v>
      </c>
      <c r="N35" s="8">
        <f>SUM([1]Sheet1!N39,[1]Sheet1!N73,[1]Sheet1!N107,[1]Sheet1!N141)</f>
        <v>323218.44711834996</v>
      </c>
      <c r="O35" s="8">
        <f>SUM([1]Sheet1!O39,[1]Sheet1!O73,[1]Sheet1!O107,[1]Sheet1!O141)</f>
        <v>327531.57993903878</v>
      </c>
      <c r="P35" s="8">
        <f>SUM([1]Sheet1!P39,[1]Sheet1!P73,[1]Sheet1!P107,[1]Sheet1!P141)</f>
        <v>332295.40131270327</v>
      </c>
      <c r="Q35" s="8">
        <f>SUM([1]Sheet1!Q39,[1]Sheet1!Q73,[1]Sheet1!Q107,[1]Sheet1!Q141)</f>
        <v>337931.54167997243</v>
      </c>
      <c r="R35" s="8">
        <f>SUM([1]Sheet1!R39,[1]Sheet1!R73,[1]Sheet1!R107,[1]Sheet1!R141)</f>
        <v>344537.119596206</v>
      </c>
      <c r="S35" s="8">
        <f>SUM([1]Sheet1!S39,[1]Sheet1!S73,[1]Sheet1!S107,[1]Sheet1!S141)</f>
        <v>351469.05435617641</v>
      </c>
      <c r="T35" s="8"/>
      <c r="U35" s="8"/>
      <c r="V35" s="8"/>
      <c r="W35" s="8"/>
      <c r="X35" s="8"/>
      <c r="Y35" s="8"/>
      <c r="Z35" s="8"/>
      <c r="AA35" s="8"/>
      <c r="AB35" s="8"/>
      <c r="AC35" s="8"/>
      <c r="AD35" s="8"/>
      <c r="AE35" s="8"/>
    </row>
    <row r="36" spans="2:31">
      <c r="B36" s="4" t="s">
        <v>238</v>
      </c>
      <c r="C36" s="4" t="s">
        <v>451</v>
      </c>
      <c r="D36" s="8">
        <f t="shared" ref="D36:D52" si="0">SUM(D2,D19)</f>
        <v>4697820.5122410664</v>
      </c>
      <c r="E36" s="8">
        <f t="shared" ref="E36:S51" si="1">SUM(E2,E19)</f>
        <v>4698402.6048558019</v>
      </c>
      <c r="F36" s="8">
        <f t="shared" si="1"/>
        <v>4759731.9630162371</v>
      </c>
      <c r="G36" s="8">
        <f t="shared" si="1"/>
        <v>4857971.3302108012</v>
      </c>
      <c r="H36" s="8">
        <f t="shared" si="1"/>
        <v>5020631.7484219456</v>
      </c>
      <c r="I36" s="8">
        <f t="shared" si="1"/>
        <v>5222808.5423941901</v>
      </c>
      <c r="J36" s="8">
        <f t="shared" si="1"/>
        <v>5433525.2899802513</v>
      </c>
      <c r="K36" s="8">
        <f t="shared" si="1"/>
        <v>5588950.1490501212</v>
      </c>
      <c r="L36" s="8">
        <f t="shared" si="1"/>
        <v>5700026.7988925837</v>
      </c>
      <c r="M36" s="8">
        <f t="shared" si="1"/>
        <v>5769437.331040822</v>
      </c>
      <c r="N36" s="8">
        <f t="shared" si="1"/>
        <v>5805727.9035257269</v>
      </c>
      <c r="O36" s="8">
        <f t="shared" si="1"/>
        <v>5828175.9047581274</v>
      </c>
      <c r="P36" s="8">
        <f t="shared" si="1"/>
        <v>5846550.9662068803</v>
      </c>
      <c r="Q36" s="8">
        <f t="shared" si="1"/>
        <v>5861094.4556676578</v>
      </c>
      <c r="R36" s="8">
        <f t="shared" si="1"/>
        <v>5869443.4993243432</v>
      </c>
      <c r="S36" s="8">
        <f t="shared" si="1"/>
        <v>5866573.2623054031</v>
      </c>
      <c r="T36" s="8"/>
      <c r="U36" s="8"/>
      <c r="V36" s="8"/>
      <c r="W36" s="8"/>
      <c r="X36" s="8"/>
      <c r="Y36" s="8"/>
      <c r="Z36" s="8"/>
      <c r="AA36" s="8"/>
      <c r="AB36" s="8"/>
      <c r="AC36" s="8"/>
      <c r="AD36" s="8"/>
      <c r="AE36" s="8"/>
    </row>
    <row r="37" spans="2:31">
      <c r="B37" s="4" t="s">
        <v>238</v>
      </c>
      <c r="C37" s="4" t="s">
        <v>452</v>
      </c>
      <c r="D37" s="8">
        <f t="shared" si="0"/>
        <v>4983411.8163073789</v>
      </c>
      <c r="E37" s="8">
        <f t="shared" ref="E37:S37" si="2">SUM(E3,E20)</f>
        <v>4891932.5758539233</v>
      </c>
      <c r="F37" s="8">
        <f t="shared" si="2"/>
        <v>4814013.2774854461</v>
      </c>
      <c r="G37" s="8">
        <f t="shared" si="2"/>
        <v>4757924.3785093427</v>
      </c>
      <c r="H37" s="8">
        <f t="shared" si="2"/>
        <v>4694787.639636619</v>
      </c>
      <c r="I37" s="8">
        <f t="shared" si="2"/>
        <v>4657269.9445202043</v>
      </c>
      <c r="J37" s="8">
        <f t="shared" si="2"/>
        <v>4643168.8713116273</v>
      </c>
      <c r="K37" s="8">
        <f t="shared" si="2"/>
        <v>4691151.8366500819</v>
      </c>
      <c r="L37" s="8">
        <f t="shared" si="2"/>
        <v>4775934.4722853582</v>
      </c>
      <c r="M37" s="8">
        <f t="shared" si="2"/>
        <v>4925348.9002416302</v>
      </c>
      <c r="N37" s="8">
        <f t="shared" si="2"/>
        <v>5121035.5907415161</v>
      </c>
      <c r="O37" s="8">
        <f t="shared" si="2"/>
        <v>5330721.6084056906</v>
      </c>
      <c r="P37" s="8">
        <f t="shared" si="2"/>
        <v>5495805.9792146031</v>
      </c>
      <c r="Q37" s="8">
        <f t="shared" si="2"/>
        <v>5622986.015781845</v>
      </c>
      <c r="R37" s="8">
        <f t="shared" si="2"/>
        <v>5709348.2866884926</v>
      </c>
      <c r="S37" s="8">
        <f t="shared" si="2"/>
        <v>5764576.094693739</v>
      </c>
      <c r="T37" s="8"/>
      <c r="U37" s="8"/>
      <c r="V37" s="8"/>
      <c r="W37" s="8"/>
      <c r="X37" s="8"/>
      <c r="Y37" s="8"/>
      <c r="Z37" s="8"/>
      <c r="AA37" s="8"/>
      <c r="AB37" s="8"/>
      <c r="AC37" s="8"/>
      <c r="AD37" s="8"/>
      <c r="AE37" s="8"/>
    </row>
    <row r="38" spans="2:31">
      <c r="B38" s="4" t="s">
        <v>238</v>
      </c>
      <c r="C38" s="4" t="s">
        <v>453</v>
      </c>
      <c r="D38" s="8">
        <f t="shared" si="0"/>
        <v>5320971.0521792704</v>
      </c>
      <c r="E38" s="8">
        <f t="shared" si="1"/>
        <v>5284400.4761395156</v>
      </c>
      <c r="F38" s="8">
        <f t="shared" si="1"/>
        <v>5226983.9793558829</v>
      </c>
      <c r="G38" s="8">
        <f t="shared" si="1"/>
        <v>5161811.2187047116</v>
      </c>
      <c r="H38" s="8">
        <f t="shared" si="1"/>
        <v>5093426.2908285186</v>
      </c>
      <c r="I38" s="8">
        <f t="shared" si="1"/>
        <v>4995641.7807936985</v>
      </c>
      <c r="J38" s="8">
        <f t="shared" si="1"/>
        <v>4884950.3298664754</v>
      </c>
      <c r="K38" s="8">
        <f t="shared" si="1"/>
        <v>4792904.4238566421</v>
      </c>
      <c r="L38" s="8">
        <f t="shared" si="1"/>
        <v>4723490.7909115031</v>
      </c>
      <c r="M38" s="8">
        <f t="shared" si="1"/>
        <v>4648702.2401240757</v>
      </c>
      <c r="N38" s="8">
        <f t="shared" si="1"/>
        <v>4606189.5566004934</v>
      </c>
      <c r="O38" s="8">
        <f t="shared" si="1"/>
        <v>4591699.225189128</v>
      </c>
      <c r="P38" s="8">
        <f t="shared" si="1"/>
        <v>4639748.7174142674</v>
      </c>
      <c r="Q38" s="8">
        <f t="shared" si="1"/>
        <v>4729279.5312325452</v>
      </c>
      <c r="R38" s="8">
        <f t="shared" si="1"/>
        <v>4886875.6265700143</v>
      </c>
      <c r="S38" s="8">
        <f t="shared" si="1"/>
        <v>5093681.3804211151</v>
      </c>
      <c r="T38" s="8"/>
      <c r="U38" s="8"/>
      <c r="V38" s="8"/>
      <c r="W38" s="8"/>
      <c r="X38" s="8"/>
      <c r="Y38" s="8"/>
      <c r="Z38" s="8"/>
      <c r="AA38" s="8"/>
      <c r="AB38" s="8"/>
      <c r="AC38" s="8"/>
      <c r="AD38" s="8"/>
      <c r="AE38" s="8"/>
    </row>
    <row r="39" spans="2:31">
      <c r="B39" s="4" t="s">
        <v>238</v>
      </c>
      <c r="C39" s="4" t="s">
        <v>454</v>
      </c>
      <c r="D39" s="8">
        <f t="shared" si="0"/>
        <v>5076798.1927213157</v>
      </c>
      <c r="E39" s="8">
        <f t="shared" si="1"/>
        <v>5195464.9990910646</v>
      </c>
      <c r="F39" s="8">
        <f t="shared" si="1"/>
        <v>5293477.068350493</v>
      </c>
      <c r="G39" s="8">
        <f t="shared" si="1"/>
        <v>5358242.7906284705</v>
      </c>
      <c r="H39" s="8">
        <f t="shared" si="1"/>
        <v>5368190.1057142513</v>
      </c>
      <c r="I39" s="8">
        <f t="shared" si="1"/>
        <v>5343289.3862106288</v>
      </c>
      <c r="J39" s="8">
        <f t="shared" si="1"/>
        <v>5287581.184363395</v>
      </c>
      <c r="K39" s="8">
        <f t="shared" si="1"/>
        <v>5215435.1797855068</v>
      </c>
      <c r="L39" s="8">
        <f t="shared" si="1"/>
        <v>5135644.2428356484</v>
      </c>
      <c r="M39" s="8">
        <f t="shared" si="1"/>
        <v>5053741.8525159322</v>
      </c>
      <c r="N39" s="8">
        <f t="shared" si="1"/>
        <v>4950336.9248773251</v>
      </c>
      <c r="O39" s="8">
        <f t="shared" si="1"/>
        <v>4839691.4459874202</v>
      </c>
      <c r="P39" s="8">
        <f t="shared" si="1"/>
        <v>4748961.577197521</v>
      </c>
      <c r="Q39" s="8">
        <f t="shared" si="1"/>
        <v>4686026.7926050154</v>
      </c>
      <c r="R39" s="8">
        <f t="shared" si="1"/>
        <v>4622027.5983534381</v>
      </c>
      <c r="S39" s="8">
        <f t="shared" si="1"/>
        <v>4592001.3701133393</v>
      </c>
      <c r="T39" s="8"/>
      <c r="U39" s="8"/>
      <c r="V39" s="8"/>
      <c r="W39" s="8"/>
      <c r="X39" s="8"/>
      <c r="Y39" s="8"/>
      <c r="Z39" s="8"/>
      <c r="AA39" s="8"/>
      <c r="AB39" s="8"/>
      <c r="AC39" s="8"/>
      <c r="AD39" s="8"/>
      <c r="AE39" s="8"/>
    </row>
    <row r="40" spans="2:31">
      <c r="B40" s="4" t="s">
        <v>238</v>
      </c>
      <c r="C40" s="4" t="s">
        <v>455</v>
      </c>
      <c r="D40" s="8">
        <f t="shared" si="0"/>
        <v>4317944.3730223775</v>
      </c>
      <c r="E40" s="8">
        <f t="shared" si="1"/>
        <v>4508154.7414655695</v>
      </c>
      <c r="F40" s="8">
        <f t="shared" si="1"/>
        <v>4698340.5196182039</v>
      </c>
      <c r="G40" s="8">
        <f t="shared" si="1"/>
        <v>4872985.787837591</v>
      </c>
      <c r="H40" s="8">
        <f t="shared" si="1"/>
        <v>5018252.7725717351</v>
      </c>
      <c r="I40" s="8">
        <f t="shared" si="1"/>
        <v>5136829.553840938</v>
      </c>
      <c r="J40" s="8">
        <f t="shared" si="1"/>
        <v>5245294.076292444</v>
      </c>
      <c r="K40" s="8">
        <f t="shared" si="1"/>
        <v>5335828.4096770501</v>
      </c>
      <c r="L40" s="8">
        <f t="shared" si="1"/>
        <v>5391820.8365885057</v>
      </c>
      <c r="M40" s="8">
        <f t="shared" si="1"/>
        <v>5393703.6475020712</v>
      </c>
      <c r="N40" s="8">
        <f t="shared" si="1"/>
        <v>5367987.5613424694</v>
      </c>
      <c r="O40" s="8">
        <f t="shared" si="1"/>
        <v>5317319.0945725851</v>
      </c>
      <c r="P40" s="8">
        <f t="shared" si="1"/>
        <v>5251472.6560556581</v>
      </c>
      <c r="Q40" s="8">
        <f t="shared" si="1"/>
        <v>5183181.3981400542</v>
      </c>
      <c r="R40" s="8">
        <f t="shared" si="1"/>
        <v>5116800.7315675765</v>
      </c>
      <c r="S40" s="8">
        <f t="shared" si="1"/>
        <v>5031270.8270034175</v>
      </c>
      <c r="T40" s="8"/>
      <c r="U40" s="8"/>
      <c r="V40" s="8"/>
      <c r="W40" s="8"/>
      <c r="X40" s="8"/>
      <c r="Y40" s="8"/>
      <c r="Z40" s="8"/>
      <c r="AA40" s="8"/>
      <c r="AB40" s="8"/>
      <c r="AC40" s="8"/>
      <c r="AD40" s="8"/>
      <c r="AE40" s="8"/>
    </row>
    <row r="41" spans="2:31">
      <c r="B41" s="4" t="s">
        <v>238</v>
      </c>
      <c r="C41" s="4" t="s">
        <v>456</v>
      </c>
      <c r="D41" s="8">
        <f t="shared" si="0"/>
        <v>3830790.0950824502</v>
      </c>
      <c r="E41" s="8">
        <f t="shared" si="1"/>
        <v>3869845.9183025835</v>
      </c>
      <c r="F41" s="8">
        <f t="shared" si="1"/>
        <v>3922462.6069577667</v>
      </c>
      <c r="G41" s="8">
        <f t="shared" si="1"/>
        <v>4011057.3535716934</v>
      </c>
      <c r="H41" s="8">
        <f t="shared" si="1"/>
        <v>4166706.4752847999</v>
      </c>
      <c r="I41" s="8">
        <f t="shared" si="1"/>
        <v>4352567.6967784567</v>
      </c>
      <c r="J41" s="8">
        <f t="shared" si="1"/>
        <v>4549235.6469416115</v>
      </c>
      <c r="K41" s="8">
        <f t="shared" si="1"/>
        <v>4744392.7621185854</v>
      </c>
      <c r="L41" s="8">
        <f t="shared" si="1"/>
        <v>4922065.6959726755</v>
      </c>
      <c r="M41" s="8">
        <f t="shared" si="1"/>
        <v>5070804.1478277314</v>
      </c>
      <c r="N41" s="8">
        <f t="shared" si="1"/>
        <v>5197663.9854004337</v>
      </c>
      <c r="O41" s="8">
        <f t="shared" si="1"/>
        <v>5317965.4983066637</v>
      </c>
      <c r="P41" s="8">
        <f t="shared" si="1"/>
        <v>5420232.9132529069</v>
      </c>
      <c r="Q41" s="8">
        <f t="shared" si="1"/>
        <v>5493126.8207934955</v>
      </c>
      <c r="R41" s="8">
        <f t="shared" si="1"/>
        <v>5518051.2397517655</v>
      </c>
      <c r="S41" s="8">
        <f t="shared" si="1"/>
        <v>5518304.7145008408</v>
      </c>
      <c r="T41" s="8"/>
      <c r="U41" s="8"/>
      <c r="V41" s="8"/>
      <c r="W41" s="8"/>
      <c r="X41" s="8"/>
      <c r="Y41" s="8"/>
      <c r="Z41" s="8"/>
      <c r="AA41" s="8"/>
      <c r="AB41" s="8"/>
      <c r="AC41" s="8"/>
      <c r="AD41" s="8"/>
      <c r="AE41" s="8"/>
    </row>
    <row r="42" spans="2:31">
      <c r="B42" s="4" t="s">
        <v>238</v>
      </c>
      <c r="C42" s="4" t="s">
        <v>457</v>
      </c>
      <c r="D42" s="8">
        <f t="shared" si="0"/>
        <v>3433146.9627657859</v>
      </c>
      <c r="E42" s="8">
        <f t="shared" si="1"/>
        <v>3503668.4883196792</v>
      </c>
      <c r="F42" s="8">
        <f t="shared" si="1"/>
        <v>3568090.6811752273</v>
      </c>
      <c r="G42" s="8">
        <f t="shared" si="1"/>
        <v>3625716.1728786374</v>
      </c>
      <c r="H42" s="8">
        <f t="shared" si="1"/>
        <v>3668230.4348772736</v>
      </c>
      <c r="I42" s="8">
        <f t="shared" si="1"/>
        <v>3706688.7315295087</v>
      </c>
      <c r="J42" s="8">
        <f t="shared" si="1"/>
        <v>3757334.1482461253</v>
      </c>
      <c r="K42" s="8">
        <f t="shared" si="1"/>
        <v>3826871.1123568248</v>
      </c>
      <c r="L42" s="8">
        <f t="shared" si="1"/>
        <v>3934454.5004145978</v>
      </c>
      <c r="M42" s="8">
        <f t="shared" si="1"/>
        <v>4108530.2302738633</v>
      </c>
      <c r="N42" s="8">
        <f t="shared" si="1"/>
        <v>4311589.3220413011</v>
      </c>
      <c r="O42" s="8">
        <f t="shared" si="1"/>
        <v>4524873.4501400758</v>
      </c>
      <c r="P42" s="8">
        <f t="shared" si="1"/>
        <v>4736398.1946692187</v>
      </c>
      <c r="Q42" s="8">
        <f t="shared" si="1"/>
        <v>4931871.9395047966</v>
      </c>
      <c r="R42" s="8">
        <f t="shared" si="1"/>
        <v>5101982.6164236534</v>
      </c>
      <c r="S42" s="8">
        <f t="shared" si="1"/>
        <v>5253732.6960873101</v>
      </c>
      <c r="T42" s="8"/>
      <c r="U42" s="8"/>
      <c r="V42" s="8"/>
      <c r="W42" s="8"/>
      <c r="X42" s="8"/>
      <c r="Y42" s="8"/>
      <c r="Z42" s="8"/>
      <c r="AA42" s="8"/>
      <c r="AB42" s="8"/>
      <c r="AC42" s="8"/>
      <c r="AD42" s="8"/>
      <c r="AE42" s="8"/>
    </row>
    <row r="43" spans="2:31">
      <c r="B43" s="4" t="s">
        <v>238</v>
      </c>
      <c r="C43" s="4" t="s">
        <v>458</v>
      </c>
      <c r="D43" s="8">
        <f t="shared" si="0"/>
        <v>3056469.036409264</v>
      </c>
      <c r="E43" s="8">
        <f t="shared" si="1"/>
        <v>3069262.8572877143</v>
      </c>
      <c r="F43" s="8">
        <f t="shared" si="1"/>
        <v>3078984.5167885814</v>
      </c>
      <c r="G43" s="8">
        <f t="shared" si="1"/>
        <v>3093801.852721422</v>
      </c>
      <c r="H43" s="8">
        <f t="shared" si="1"/>
        <v>3123086.7793664951</v>
      </c>
      <c r="I43" s="8">
        <f t="shared" si="1"/>
        <v>3174721.0418831478</v>
      </c>
      <c r="J43" s="8">
        <f t="shared" si="1"/>
        <v>3239797.2110635028</v>
      </c>
      <c r="K43" s="8">
        <f t="shared" si="1"/>
        <v>3309523.2273865677</v>
      </c>
      <c r="L43" s="8">
        <f t="shared" si="1"/>
        <v>3385970.1181328367</v>
      </c>
      <c r="M43" s="8">
        <f t="shared" si="1"/>
        <v>3458669.1822564127</v>
      </c>
      <c r="N43" s="8">
        <f t="shared" si="1"/>
        <v>3528823.7029650719</v>
      </c>
      <c r="O43" s="8">
        <f t="shared" si="1"/>
        <v>3608390.8939377367</v>
      </c>
      <c r="P43" s="8">
        <f t="shared" si="1"/>
        <v>3703425.7877148017</v>
      </c>
      <c r="Q43" s="8">
        <f t="shared" si="1"/>
        <v>3831166.3122359603</v>
      </c>
      <c r="R43" s="8">
        <f t="shared" si="1"/>
        <v>4022476.3098322451</v>
      </c>
      <c r="S43" s="8">
        <f t="shared" si="1"/>
        <v>4243536.871859014</v>
      </c>
      <c r="T43" s="8"/>
      <c r="U43" s="8"/>
      <c r="V43" s="8"/>
      <c r="W43" s="8"/>
      <c r="X43" s="8"/>
      <c r="Y43" s="8"/>
      <c r="Z43" s="8"/>
      <c r="AA43" s="8"/>
      <c r="AB43" s="8"/>
      <c r="AC43" s="8"/>
      <c r="AD43" s="8"/>
      <c r="AE43" s="8"/>
    </row>
    <row r="44" spans="2:31">
      <c r="B44" s="4" t="s">
        <v>238</v>
      </c>
      <c r="C44" s="4" t="s">
        <v>459</v>
      </c>
      <c r="D44" s="8">
        <f t="shared" si="0"/>
        <v>2642341.605987113</v>
      </c>
      <c r="E44" s="8">
        <f t="shared" si="1"/>
        <v>2685564.5109637775</v>
      </c>
      <c r="F44" s="8">
        <f t="shared" si="1"/>
        <v>2719409.9106621654</v>
      </c>
      <c r="G44" s="8">
        <f t="shared" si="1"/>
        <v>2743911.7844040571</v>
      </c>
      <c r="H44" s="8">
        <f t="shared" si="1"/>
        <v>2758941.8432719633</v>
      </c>
      <c r="I44" s="8">
        <f t="shared" si="1"/>
        <v>2764692.9564888505</v>
      </c>
      <c r="J44" s="8">
        <f t="shared" si="1"/>
        <v>2772214.7767051291</v>
      </c>
      <c r="K44" s="8">
        <f t="shared" si="1"/>
        <v>2785273.8283294314</v>
      </c>
      <c r="L44" s="8">
        <f t="shared" si="1"/>
        <v>2814720.2739641857</v>
      </c>
      <c r="M44" s="8">
        <f t="shared" si="1"/>
        <v>2867676.6885187961</v>
      </c>
      <c r="N44" s="8">
        <f t="shared" si="1"/>
        <v>2942921.7577850847</v>
      </c>
      <c r="O44" s="8">
        <f t="shared" si="1"/>
        <v>3030964.0514120869</v>
      </c>
      <c r="P44" s="8">
        <f t="shared" si="1"/>
        <v>3123569.2872183286</v>
      </c>
      <c r="Q44" s="8">
        <f t="shared" si="1"/>
        <v>3217514.3589837132</v>
      </c>
      <c r="R44" s="8">
        <f t="shared" si="1"/>
        <v>3305863.2174344212</v>
      </c>
      <c r="S44" s="8">
        <f t="shared" si="1"/>
        <v>3392431.0692465054</v>
      </c>
      <c r="T44" s="8"/>
      <c r="U44" s="8"/>
      <c r="V44" s="8"/>
      <c r="W44" s="8"/>
      <c r="X44" s="8"/>
      <c r="Y44" s="8"/>
      <c r="Z44" s="8"/>
      <c r="AA44" s="8"/>
      <c r="AB44" s="8"/>
      <c r="AC44" s="8"/>
      <c r="AD44" s="8"/>
      <c r="AE44" s="8"/>
    </row>
    <row r="45" spans="2:31">
      <c r="B45" s="4" t="s">
        <v>238</v>
      </c>
      <c r="C45" s="4" t="s">
        <v>460</v>
      </c>
      <c r="D45" s="8">
        <f t="shared" si="0"/>
        <v>2219497.1428141491</v>
      </c>
      <c r="E45" s="8">
        <f t="shared" si="1"/>
        <v>2265707.3754921108</v>
      </c>
      <c r="F45" s="8">
        <f t="shared" si="1"/>
        <v>2299989.5607177508</v>
      </c>
      <c r="G45" s="8">
        <f t="shared" si="1"/>
        <v>2330195.5730197914</v>
      </c>
      <c r="H45" s="8">
        <f t="shared" si="1"/>
        <v>2357749.5406185919</v>
      </c>
      <c r="I45" s="8">
        <f t="shared" si="1"/>
        <v>2392823.6280626841</v>
      </c>
      <c r="J45" s="8">
        <f t="shared" si="1"/>
        <v>2426006.5502365162</v>
      </c>
      <c r="K45" s="8">
        <f t="shared" si="1"/>
        <v>2457499.9375605583</v>
      </c>
      <c r="L45" s="8">
        <f t="shared" si="1"/>
        <v>2488965.87168846</v>
      </c>
      <c r="M45" s="8">
        <f t="shared" si="1"/>
        <v>2519864.3789321906</v>
      </c>
      <c r="N45" s="8">
        <f t="shared" si="1"/>
        <v>2543713.070813939</v>
      </c>
      <c r="O45" s="8">
        <f t="shared" si="1"/>
        <v>2569140.1606834959</v>
      </c>
      <c r="P45" s="8">
        <f t="shared" si="1"/>
        <v>2600414.4001169349</v>
      </c>
      <c r="Q45" s="8">
        <f t="shared" si="1"/>
        <v>2642954.7088944176</v>
      </c>
      <c r="R45" s="8">
        <f t="shared" si="1"/>
        <v>2704855.8244611733</v>
      </c>
      <c r="S45" s="8">
        <f t="shared" si="1"/>
        <v>2787589.7657644767</v>
      </c>
      <c r="T45" s="8"/>
      <c r="U45" s="8"/>
      <c r="V45" s="8"/>
      <c r="W45" s="8"/>
      <c r="X45" s="8"/>
      <c r="Y45" s="8"/>
      <c r="Z45" s="8"/>
      <c r="AA45" s="8"/>
      <c r="AB45" s="8"/>
      <c r="AC45" s="8"/>
      <c r="AD45" s="8"/>
      <c r="AE45" s="8"/>
    </row>
    <row r="46" spans="2:31">
      <c r="B46" s="4" t="s">
        <v>238</v>
      </c>
      <c r="C46" s="4" t="s">
        <v>461</v>
      </c>
      <c r="D46" s="8">
        <f t="shared" si="0"/>
        <v>1764230.3544579931</v>
      </c>
      <c r="E46" s="8">
        <f t="shared" si="1"/>
        <v>1817025.1540553598</v>
      </c>
      <c r="F46" s="8">
        <f t="shared" si="1"/>
        <v>1869489.1176954955</v>
      </c>
      <c r="G46" s="8">
        <f t="shared" si="1"/>
        <v>1915276.1679827301</v>
      </c>
      <c r="H46" s="8">
        <f t="shared" si="1"/>
        <v>1954071.8812693153</v>
      </c>
      <c r="I46" s="8">
        <f t="shared" si="1"/>
        <v>1989167.1847394744</v>
      </c>
      <c r="J46" s="8">
        <f t="shared" si="1"/>
        <v>2027273.9738517515</v>
      </c>
      <c r="K46" s="8">
        <f t="shared" si="1"/>
        <v>2060787.7174674771</v>
      </c>
      <c r="L46" s="8">
        <f t="shared" si="1"/>
        <v>2096875.1756469533</v>
      </c>
      <c r="M46" s="8">
        <f t="shared" si="1"/>
        <v>2135891.5425037853</v>
      </c>
      <c r="N46" s="8">
        <f t="shared" si="1"/>
        <v>2181892.8664297685</v>
      </c>
      <c r="O46" s="8">
        <f t="shared" si="1"/>
        <v>2224828.9046084867</v>
      </c>
      <c r="P46" s="8">
        <f t="shared" si="1"/>
        <v>2266653.9979024148</v>
      </c>
      <c r="Q46" s="8">
        <f t="shared" si="1"/>
        <v>2306635.2569692405</v>
      </c>
      <c r="R46" s="8">
        <f t="shared" si="1"/>
        <v>2344758.894952687</v>
      </c>
      <c r="S46" s="8">
        <f t="shared" si="1"/>
        <v>2376586.0646457542</v>
      </c>
      <c r="T46" s="8"/>
      <c r="U46" s="8"/>
      <c r="V46" s="8"/>
      <c r="W46" s="8"/>
      <c r="X46" s="8"/>
      <c r="Y46" s="8"/>
      <c r="Z46" s="8"/>
      <c r="AA46" s="8"/>
      <c r="AB46" s="8"/>
      <c r="AC46" s="8"/>
      <c r="AD46" s="8"/>
      <c r="AE46" s="8"/>
    </row>
    <row r="47" spans="2:31">
      <c r="B47" s="4" t="s">
        <v>238</v>
      </c>
      <c r="C47" s="4" t="s">
        <v>462</v>
      </c>
      <c r="D47" s="8">
        <f t="shared" si="0"/>
        <v>1329389.0798215116</v>
      </c>
      <c r="E47" s="8">
        <f t="shared" si="1"/>
        <v>1379172.7982592471</v>
      </c>
      <c r="F47" s="8">
        <f t="shared" si="1"/>
        <v>1429783.5854864833</v>
      </c>
      <c r="G47" s="8">
        <f t="shared" si="1"/>
        <v>1479354.566487778</v>
      </c>
      <c r="H47" s="8">
        <f t="shared" si="1"/>
        <v>1527615.6244266089</v>
      </c>
      <c r="I47" s="8">
        <f t="shared" si="1"/>
        <v>1575618.9268020266</v>
      </c>
      <c r="J47" s="8">
        <f t="shared" si="1"/>
        <v>1619558.3030534093</v>
      </c>
      <c r="K47" s="8">
        <f t="shared" si="1"/>
        <v>1666777.8802148432</v>
      </c>
      <c r="L47" s="8">
        <f t="shared" si="1"/>
        <v>1712013.4658937883</v>
      </c>
      <c r="M47" s="8">
        <f t="shared" si="1"/>
        <v>1754682.8381069198</v>
      </c>
      <c r="N47" s="8">
        <f t="shared" si="1"/>
        <v>1794618.5909412422</v>
      </c>
      <c r="O47" s="8">
        <f t="shared" si="1"/>
        <v>1837002.6181925978</v>
      </c>
      <c r="P47" s="8">
        <f t="shared" si="1"/>
        <v>1875187.402403347</v>
      </c>
      <c r="Q47" s="8">
        <f t="shared" si="1"/>
        <v>1914929.4649251399</v>
      </c>
      <c r="R47" s="8">
        <f t="shared" si="1"/>
        <v>1956905.5845540189</v>
      </c>
      <c r="S47" s="8">
        <f t="shared" si="1"/>
        <v>2005844.5663793841</v>
      </c>
      <c r="T47" s="8"/>
      <c r="U47" s="8"/>
      <c r="V47" s="8"/>
      <c r="W47" s="8"/>
      <c r="X47" s="8"/>
      <c r="Y47" s="8"/>
      <c r="Z47" s="8"/>
      <c r="AA47" s="8"/>
      <c r="AB47" s="8"/>
      <c r="AC47" s="8"/>
      <c r="AD47" s="8"/>
      <c r="AE47" s="8"/>
    </row>
    <row r="48" spans="2:31">
      <c r="B48" s="4" t="s">
        <v>238</v>
      </c>
      <c r="C48" s="4" t="s">
        <v>463</v>
      </c>
      <c r="D48" s="8">
        <f t="shared" si="0"/>
        <v>1050240.5425680382</v>
      </c>
      <c r="E48" s="8">
        <f t="shared" si="1"/>
        <v>1062424.1394908745</v>
      </c>
      <c r="F48" s="8">
        <f t="shared" si="1"/>
        <v>1078015.8879184781</v>
      </c>
      <c r="G48" s="8">
        <f t="shared" si="1"/>
        <v>1100058.6142329103</v>
      </c>
      <c r="H48" s="8">
        <f t="shared" si="1"/>
        <v>1129011.9622392813</v>
      </c>
      <c r="I48" s="8">
        <f t="shared" si="1"/>
        <v>1163466.6081043845</v>
      </c>
      <c r="J48" s="8">
        <f t="shared" si="1"/>
        <v>1205559.9491796596</v>
      </c>
      <c r="K48" s="8">
        <f t="shared" si="1"/>
        <v>1250233.7212277318</v>
      </c>
      <c r="L48" s="8">
        <f t="shared" si="1"/>
        <v>1295831.7738352676</v>
      </c>
      <c r="M48" s="8">
        <f t="shared" si="1"/>
        <v>1341984.9962259158</v>
      </c>
      <c r="N48" s="8">
        <f t="shared" si="1"/>
        <v>1388528.5599642689</v>
      </c>
      <c r="O48" s="8">
        <f t="shared" si="1"/>
        <v>1431474.1302897953</v>
      </c>
      <c r="P48" s="8">
        <f t="shared" si="1"/>
        <v>1477474.6333403995</v>
      </c>
      <c r="Q48" s="8">
        <f t="shared" si="1"/>
        <v>1521801.6052448275</v>
      </c>
      <c r="R48" s="8">
        <f t="shared" si="1"/>
        <v>1564163.5140161975</v>
      </c>
      <c r="S48" s="8">
        <f t="shared" si="1"/>
        <v>1604738.7071671223</v>
      </c>
      <c r="T48" s="8"/>
      <c r="U48" s="8"/>
      <c r="V48" s="8"/>
      <c r="W48" s="8"/>
      <c r="X48" s="8"/>
      <c r="Y48" s="8"/>
      <c r="Z48" s="8"/>
      <c r="AA48" s="8"/>
      <c r="AB48" s="8"/>
      <c r="AC48" s="8"/>
      <c r="AD48" s="8"/>
      <c r="AE48" s="8"/>
    </row>
    <row r="49" spans="2:31">
      <c r="B49" s="4" t="s">
        <v>238</v>
      </c>
      <c r="C49" s="4" t="s">
        <v>464</v>
      </c>
      <c r="D49" s="8">
        <f t="shared" si="0"/>
        <v>806030.48641084554</v>
      </c>
      <c r="E49" s="8">
        <f t="shared" si="1"/>
        <v>824032.48110215762</v>
      </c>
      <c r="F49" s="8">
        <f t="shared" si="1"/>
        <v>842686.8970880257</v>
      </c>
      <c r="G49" s="8">
        <f t="shared" si="1"/>
        <v>858140.75115234265</v>
      </c>
      <c r="H49" s="8">
        <f t="shared" si="1"/>
        <v>869627.61831329972</v>
      </c>
      <c r="I49" s="8">
        <f t="shared" si="1"/>
        <v>879765.58598470886</v>
      </c>
      <c r="J49" s="8">
        <f t="shared" si="1"/>
        <v>889497.0854994792</v>
      </c>
      <c r="K49" s="8">
        <f t="shared" si="1"/>
        <v>903396.29872380826</v>
      </c>
      <c r="L49" s="8">
        <f t="shared" si="1"/>
        <v>923792.64607596979</v>
      </c>
      <c r="M49" s="8">
        <f t="shared" si="1"/>
        <v>950960.28750370548</v>
      </c>
      <c r="N49" s="8">
        <f t="shared" si="1"/>
        <v>983277.62302065513</v>
      </c>
      <c r="O49" s="8">
        <f t="shared" si="1"/>
        <v>1022094.158940505</v>
      </c>
      <c r="P49" s="8">
        <f t="shared" si="1"/>
        <v>1063018.7699331711</v>
      </c>
      <c r="Q49" s="8">
        <f t="shared" si="1"/>
        <v>1104859.7766497452</v>
      </c>
      <c r="R49" s="8">
        <f t="shared" si="1"/>
        <v>1147464.8044988569</v>
      </c>
      <c r="S49" s="8">
        <f t="shared" si="1"/>
        <v>1190825.1248793432</v>
      </c>
      <c r="T49" s="8"/>
      <c r="U49" s="8"/>
      <c r="V49" s="8"/>
      <c r="W49" s="8"/>
      <c r="X49" s="8"/>
      <c r="Y49" s="8"/>
      <c r="Z49" s="8"/>
      <c r="AA49" s="8"/>
      <c r="AB49" s="8"/>
      <c r="AC49" s="8"/>
      <c r="AD49" s="8"/>
      <c r="AE49" s="8"/>
    </row>
    <row r="50" spans="2:31">
      <c r="B50" s="4" t="s">
        <v>238</v>
      </c>
      <c r="C50" s="4" t="s">
        <v>465</v>
      </c>
      <c r="D50" s="8">
        <f t="shared" si="0"/>
        <v>596532.31707240921</v>
      </c>
      <c r="E50" s="8">
        <f t="shared" si="1"/>
        <v>600450.47683628101</v>
      </c>
      <c r="F50" s="8">
        <f t="shared" si="1"/>
        <v>604719.07060160406</v>
      </c>
      <c r="G50" s="8">
        <f t="shared" si="1"/>
        <v>611685.20128479321</v>
      </c>
      <c r="H50" s="8">
        <f t="shared" si="1"/>
        <v>621036.42685514456</v>
      </c>
      <c r="I50" s="8">
        <f t="shared" si="1"/>
        <v>632740.90582694532</v>
      </c>
      <c r="J50" s="8">
        <f t="shared" si="1"/>
        <v>646880.03001508489</v>
      </c>
      <c r="K50" s="8">
        <f t="shared" si="1"/>
        <v>661993.03750673681</v>
      </c>
      <c r="L50" s="8">
        <f t="shared" si="1"/>
        <v>675256.25161686714</v>
      </c>
      <c r="M50" s="8">
        <f t="shared" si="1"/>
        <v>686052.98589809285</v>
      </c>
      <c r="N50" s="8">
        <f t="shared" si="1"/>
        <v>696302.87641638622</v>
      </c>
      <c r="O50" s="8">
        <f t="shared" si="1"/>
        <v>706556.26655351697</v>
      </c>
      <c r="P50" s="8">
        <f t="shared" si="1"/>
        <v>720197.46631254733</v>
      </c>
      <c r="Q50" s="8">
        <f t="shared" si="1"/>
        <v>739318.23103079246</v>
      </c>
      <c r="R50" s="8">
        <f t="shared" si="1"/>
        <v>764217.67244824092</v>
      </c>
      <c r="S50" s="8">
        <f t="shared" si="1"/>
        <v>793615.96736036835</v>
      </c>
      <c r="T50" s="8"/>
      <c r="U50" s="8"/>
      <c r="V50" s="8"/>
      <c r="W50" s="8"/>
      <c r="X50" s="8"/>
      <c r="Y50" s="8"/>
      <c r="Z50" s="8"/>
      <c r="AA50" s="8"/>
      <c r="AB50" s="8"/>
      <c r="AC50" s="8"/>
      <c r="AD50" s="8"/>
      <c r="AE50" s="8"/>
    </row>
    <row r="51" spans="2:31">
      <c r="B51" s="4" t="s">
        <v>238</v>
      </c>
      <c r="C51" s="4" t="s">
        <v>466</v>
      </c>
      <c r="D51" s="8">
        <f t="shared" si="0"/>
        <v>409293.50017699576</v>
      </c>
      <c r="E51" s="8">
        <f t="shared" si="1"/>
        <v>412126.95241685235</v>
      </c>
      <c r="F51" s="8">
        <f t="shared" si="1"/>
        <v>415100.1244860678</v>
      </c>
      <c r="G51" s="8">
        <f t="shared" si="1"/>
        <v>418201.60375502135</v>
      </c>
      <c r="H51" s="8">
        <f t="shared" si="1"/>
        <v>422052.74877855857</v>
      </c>
      <c r="I51" s="8">
        <f t="shared" si="1"/>
        <v>425163.68643895967</v>
      </c>
      <c r="J51" s="8">
        <f t="shared" si="1"/>
        <v>428494.30667161057</v>
      </c>
      <c r="K51" s="8">
        <f t="shared" si="1"/>
        <v>432563.75024382526</v>
      </c>
      <c r="L51" s="8">
        <f t="shared" si="1"/>
        <v>438848.85447274789</v>
      </c>
      <c r="M51" s="8">
        <f t="shared" si="1"/>
        <v>447173.42998105614</v>
      </c>
      <c r="N51" s="8">
        <f t="shared" si="1"/>
        <v>457407.9486168914</v>
      </c>
      <c r="O51" s="8">
        <f t="shared" si="1"/>
        <v>469548.81329931313</v>
      </c>
      <c r="P51" s="8">
        <f t="shared" si="1"/>
        <v>482219.418026714</v>
      </c>
      <c r="Q51" s="8">
        <f t="shared" si="1"/>
        <v>493804.44040978694</v>
      </c>
      <c r="R51" s="8">
        <f t="shared" si="1"/>
        <v>503934.37552795</v>
      </c>
      <c r="S51" s="8">
        <f t="shared" si="1"/>
        <v>513955.18231504207</v>
      </c>
      <c r="T51" s="8"/>
      <c r="U51" s="8"/>
      <c r="V51" s="8"/>
      <c r="W51" s="8"/>
      <c r="X51" s="8"/>
      <c r="Y51" s="8"/>
      <c r="Z51" s="8"/>
      <c r="AA51" s="8"/>
      <c r="AB51" s="8"/>
      <c r="AC51" s="8"/>
      <c r="AD51" s="8"/>
      <c r="AE51" s="8"/>
    </row>
    <row r="52" spans="2:31">
      <c r="B52" s="4" t="s">
        <v>238</v>
      </c>
      <c r="C52" s="4" t="s">
        <v>467</v>
      </c>
      <c r="D52" s="8">
        <f t="shared" si="0"/>
        <v>385923.53577334783</v>
      </c>
      <c r="E52" s="8">
        <f t="shared" ref="E52:S52" si="3">SUM(E18,E35)</f>
        <v>392944.91036075552</v>
      </c>
      <c r="F52" s="8">
        <f t="shared" si="3"/>
        <v>399433.95098140533</v>
      </c>
      <c r="G52" s="8">
        <f t="shared" si="3"/>
        <v>405573.60052047146</v>
      </c>
      <c r="H52" s="8">
        <f t="shared" si="3"/>
        <v>411469.44998435728</v>
      </c>
      <c r="I52" s="8">
        <f t="shared" si="3"/>
        <v>417155.11681451846</v>
      </c>
      <c r="J52" s="8">
        <f t="shared" si="3"/>
        <v>422898.22331522044</v>
      </c>
      <c r="K52" s="8">
        <f t="shared" si="3"/>
        <v>428717.88711921929</v>
      </c>
      <c r="L52" s="8">
        <f t="shared" si="3"/>
        <v>434671.11683951592</v>
      </c>
      <c r="M52" s="8">
        <f t="shared" si="3"/>
        <v>441212.6372653672</v>
      </c>
      <c r="N52" s="8">
        <f t="shared" si="3"/>
        <v>447415.04058750701</v>
      </c>
      <c r="O52" s="8">
        <f t="shared" si="3"/>
        <v>453940.23314613174</v>
      </c>
      <c r="P52" s="8">
        <f t="shared" si="3"/>
        <v>461033.52444955136</v>
      </c>
      <c r="Q52" s="8">
        <f t="shared" si="3"/>
        <v>469940.3482520901</v>
      </c>
      <c r="R52" s="8">
        <f t="shared" si="3"/>
        <v>480770.67341976665</v>
      </c>
      <c r="S52" s="8">
        <f t="shared" si="3"/>
        <v>492684.3769059148</v>
      </c>
      <c r="T52" s="8"/>
      <c r="U52" s="8"/>
      <c r="V52" s="8"/>
      <c r="W52" s="8"/>
      <c r="X52" s="8"/>
      <c r="Y52" s="8"/>
      <c r="Z52" s="8"/>
      <c r="AA52" s="8"/>
      <c r="AB52" s="8"/>
      <c r="AC52" s="8"/>
      <c r="AD52" s="8"/>
      <c r="AE52" s="8"/>
    </row>
    <row r="53" spans="2:31">
      <c r="B53" s="4" t="s">
        <v>238</v>
      </c>
      <c r="C53" s="4" t="s">
        <v>405</v>
      </c>
      <c r="D53" s="8">
        <f>SUM(D36:D52)</f>
        <v>45920830.60581132</v>
      </c>
      <c r="E53" s="8">
        <f t="shared" ref="E53:S53" si="4">SUM(E36:E52)</f>
        <v>46460581.460293256</v>
      </c>
      <c r="F53" s="8">
        <f t="shared" si="4"/>
        <v>47020712.718385331</v>
      </c>
      <c r="G53" s="8">
        <f t="shared" si="4"/>
        <v>47601908.747902565</v>
      </c>
      <c r="H53" s="8">
        <f t="shared" si="4"/>
        <v>48204889.342458755</v>
      </c>
      <c r="I53" s="8">
        <f t="shared" si="4"/>
        <v>48830411.27721332</v>
      </c>
      <c r="J53" s="8">
        <f t="shared" si="4"/>
        <v>49479269.956593297</v>
      </c>
      <c r="K53" s="8">
        <f t="shared" si="4"/>
        <v>50152301.159275018</v>
      </c>
      <c r="L53" s="8">
        <f t="shared" si="4"/>
        <v>50850382.886067465</v>
      </c>
      <c r="M53" s="8">
        <f t="shared" si="4"/>
        <v>51574437.316718385</v>
      </c>
      <c r="N53" s="8">
        <f t="shared" si="4"/>
        <v>52325432.882070079</v>
      </c>
      <c r="O53" s="8">
        <f t="shared" si="4"/>
        <v>53104386.458423346</v>
      </c>
      <c r="P53" s="8">
        <f t="shared" si="4"/>
        <v>53912365.691429272</v>
      </c>
      <c r="Q53" s="8">
        <f t="shared" si="4"/>
        <v>54750491.457321115</v>
      </c>
      <c r="R53" s="8">
        <f t="shared" si="4"/>
        <v>55619940.469824828</v>
      </c>
      <c r="S53" s="8">
        <f t="shared" si="4"/>
        <v>56521948.041648097</v>
      </c>
      <c r="T53" s="8"/>
      <c r="U53" s="8"/>
      <c r="V53" s="8"/>
      <c r="W53" s="8"/>
      <c r="X53" s="8"/>
      <c r="Y53" s="8"/>
      <c r="Z53" s="8"/>
      <c r="AA53" s="8"/>
      <c r="AB53" s="8"/>
      <c r="AC53" s="8"/>
      <c r="AD53" s="8"/>
      <c r="AE53"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3"/>
  <sheetViews>
    <sheetView topLeftCell="A131" workbookViewId="0">
      <selection activeCell="C164" sqref="C164"/>
    </sheetView>
  </sheetViews>
  <sheetFormatPr defaultColWidth="8.7109375" defaultRowHeight="15"/>
  <cols>
    <col min="1" max="16384" width="8.7109375" style="185"/>
  </cols>
  <sheetData>
    <row r="4" spans="1:40">
      <c r="A4" s="185" t="s">
        <v>611</v>
      </c>
    </row>
    <row r="5" spans="1:40">
      <c r="B5" s="35" t="s">
        <v>556</v>
      </c>
      <c r="C5" s="35" t="s">
        <v>565</v>
      </c>
      <c r="D5" s="35" t="s">
        <v>566</v>
      </c>
      <c r="E5" s="35" t="s">
        <v>557</v>
      </c>
      <c r="F5" s="35" t="s">
        <v>567</v>
      </c>
      <c r="G5" s="35" t="s">
        <v>568</v>
      </c>
      <c r="H5" s="35" t="s">
        <v>569</v>
      </c>
      <c r="I5" s="35" t="s">
        <v>570</v>
      </c>
      <c r="J5" s="35" t="s">
        <v>558</v>
      </c>
      <c r="K5" s="35" t="s">
        <v>571</v>
      </c>
      <c r="L5" s="35" t="s">
        <v>572</v>
      </c>
      <c r="M5" s="35" t="s">
        <v>573</v>
      </c>
      <c r="N5" s="35" t="s">
        <v>574</v>
      </c>
      <c r="O5" s="35" t="s">
        <v>559</v>
      </c>
      <c r="P5" s="35" t="s">
        <v>575</v>
      </c>
      <c r="Q5" s="35" t="s">
        <v>576</v>
      </c>
      <c r="R5" s="35" t="s">
        <v>577</v>
      </c>
      <c r="S5" s="35" t="s">
        <v>578</v>
      </c>
      <c r="T5" s="35" t="s">
        <v>560</v>
      </c>
      <c r="U5" s="35" t="s">
        <v>579</v>
      </c>
      <c r="V5" s="35" t="s">
        <v>580</v>
      </c>
      <c r="W5" s="35" t="s">
        <v>581</v>
      </c>
      <c r="X5" s="35" t="s">
        <v>582</v>
      </c>
      <c r="Y5" s="35" t="s">
        <v>561</v>
      </c>
      <c r="Z5" s="35" t="s">
        <v>583</v>
      </c>
      <c r="AA5" s="35" t="s">
        <v>584</v>
      </c>
      <c r="AB5" s="35" t="s">
        <v>585</v>
      </c>
      <c r="AC5" s="35" t="s">
        <v>586</v>
      </c>
      <c r="AD5" s="35" t="s">
        <v>562</v>
      </c>
      <c r="AE5" s="35" t="s">
        <v>587</v>
      </c>
      <c r="AF5" s="35" t="s">
        <v>588</v>
      </c>
      <c r="AG5" s="35" t="s">
        <v>589</v>
      </c>
      <c r="AH5" s="35" t="s">
        <v>590</v>
      </c>
      <c r="AI5" s="35" t="s">
        <v>563</v>
      </c>
      <c r="AJ5" s="35" t="s">
        <v>591</v>
      </c>
      <c r="AK5" s="35" t="s">
        <v>592</v>
      </c>
      <c r="AL5" s="35" t="s">
        <v>593</v>
      </c>
      <c r="AM5" s="35" t="s">
        <v>594</v>
      </c>
      <c r="AN5" s="35" t="s">
        <v>564</v>
      </c>
    </row>
    <row r="6" spans="1:40">
      <c r="A6" s="35" t="s">
        <v>4</v>
      </c>
      <c r="B6" s="185">
        <v>1833.85</v>
      </c>
      <c r="C6" s="185">
        <v>1884.55</v>
      </c>
      <c r="D6" s="185">
        <v>1927.88</v>
      </c>
      <c r="E6" s="185">
        <v>1957.41</v>
      </c>
      <c r="F6" s="185">
        <v>1982.72</v>
      </c>
      <c r="G6" s="185">
        <v>2007.4</v>
      </c>
      <c r="H6" s="185">
        <v>2036.6</v>
      </c>
      <c r="I6" s="185">
        <v>2071.14</v>
      </c>
      <c r="J6" s="185">
        <v>1915.6</v>
      </c>
      <c r="K6" s="185">
        <v>1960.19</v>
      </c>
      <c r="L6" s="185">
        <v>2004.23</v>
      </c>
      <c r="M6" s="185">
        <v>2048.11</v>
      </c>
      <c r="N6" s="185">
        <v>2091.16</v>
      </c>
      <c r="O6" s="185">
        <v>2135.91</v>
      </c>
      <c r="P6" s="185">
        <v>2188.48</v>
      </c>
      <c r="Q6" s="185">
        <v>2240.58</v>
      </c>
      <c r="R6" s="185">
        <v>2295.15</v>
      </c>
      <c r="S6" s="185">
        <v>2351.59</v>
      </c>
      <c r="T6" s="185">
        <v>2409.79</v>
      </c>
      <c r="U6" s="185">
        <v>2477.56</v>
      </c>
      <c r="V6" s="185">
        <v>2544.31</v>
      </c>
      <c r="W6" s="185">
        <v>2617.34</v>
      </c>
      <c r="X6" s="10">
        <v>2695.68</v>
      </c>
      <c r="Y6" s="24">
        <v>2779.08</v>
      </c>
      <c r="Z6" s="185">
        <v>2866.42</v>
      </c>
      <c r="AA6" s="185">
        <v>2957.38</v>
      </c>
      <c r="AB6" s="185">
        <v>3050.01</v>
      </c>
      <c r="AC6" s="185">
        <v>3146.53</v>
      </c>
      <c r="AD6" s="185">
        <v>3249.04</v>
      </c>
      <c r="AE6" s="185">
        <v>3355.38</v>
      </c>
      <c r="AF6" s="185">
        <v>3466.6</v>
      </c>
      <c r="AG6" s="185">
        <v>3582.52</v>
      </c>
      <c r="AH6" s="185">
        <v>3703.15</v>
      </c>
      <c r="AI6" s="185">
        <v>3831.42</v>
      </c>
      <c r="AJ6" s="185">
        <v>3966.01</v>
      </c>
      <c r="AK6" s="185">
        <v>4107.3999999999996</v>
      </c>
      <c r="AL6" s="185">
        <v>4251</v>
      </c>
      <c r="AM6" s="185">
        <v>4401.6400000000003</v>
      </c>
      <c r="AN6" s="185">
        <v>4560.04</v>
      </c>
    </row>
    <row r="7" spans="1:40">
      <c r="A7" s="35" t="s">
        <v>646</v>
      </c>
      <c r="B7" s="185">
        <v>69.819999999999993</v>
      </c>
      <c r="C7" s="185">
        <v>72.77</v>
      </c>
      <c r="D7" s="185">
        <v>75.510000000000005</v>
      </c>
      <c r="E7" s="185">
        <v>74.36</v>
      </c>
      <c r="F7" s="185">
        <v>73.55</v>
      </c>
      <c r="G7" s="185">
        <v>76</v>
      </c>
      <c r="H7" s="185">
        <v>74.78</v>
      </c>
      <c r="I7" s="185">
        <v>73.53</v>
      </c>
      <c r="J7" s="185">
        <v>70.959999999999994</v>
      </c>
      <c r="K7" s="185">
        <v>72.959999999999994</v>
      </c>
      <c r="L7" s="185">
        <v>75</v>
      </c>
      <c r="M7" s="185">
        <v>76.52</v>
      </c>
      <c r="N7" s="185">
        <v>77.900000000000006</v>
      </c>
      <c r="O7" s="185">
        <v>79.13</v>
      </c>
      <c r="P7" s="185">
        <v>81.150000000000006</v>
      </c>
      <c r="Q7" s="185">
        <v>83.06</v>
      </c>
      <c r="R7" s="185">
        <v>85</v>
      </c>
      <c r="S7" s="185">
        <v>86.79</v>
      </c>
      <c r="T7" s="185">
        <v>88.61</v>
      </c>
      <c r="U7" s="185">
        <v>90.52</v>
      </c>
      <c r="V7" s="185">
        <v>92.22</v>
      </c>
      <c r="W7" s="185">
        <v>94</v>
      </c>
      <c r="X7" s="185">
        <v>95.83</v>
      </c>
      <c r="Y7" s="185">
        <v>97.69</v>
      </c>
      <c r="Z7" s="185">
        <v>99.72</v>
      </c>
      <c r="AA7" s="185">
        <v>101.85</v>
      </c>
      <c r="AB7" s="185">
        <v>104.02</v>
      </c>
      <c r="AC7" s="185">
        <v>106.26</v>
      </c>
      <c r="AD7" s="185">
        <v>108.6</v>
      </c>
      <c r="AE7" s="185">
        <v>110.85</v>
      </c>
      <c r="AF7" s="185">
        <v>113.14</v>
      </c>
      <c r="AG7" s="185">
        <v>115.46</v>
      </c>
      <c r="AH7" s="185">
        <v>117.97</v>
      </c>
      <c r="AI7" s="185">
        <v>120.7</v>
      </c>
      <c r="AJ7" s="185">
        <v>123.56</v>
      </c>
      <c r="AK7" s="185">
        <v>126.62</v>
      </c>
      <c r="AL7" s="185">
        <v>129.62</v>
      </c>
      <c r="AM7" s="185">
        <v>132.85</v>
      </c>
      <c r="AN7" s="185">
        <v>136.25</v>
      </c>
    </row>
    <row r="8" spans="1:40">
      <c r="A8" s="35" t="s">
        <v>387</v>
      </c>
      <c r="B8" s="185">
        <v>205.45</v>
      </c>
      <c r="C8" s="185">
        <v>210.29</v>
      </c>
      <c r="D8" s="185">
        <v>210.09</v>
      </c>
      <c r="E8" s="185">
        <v>214.84</v>
      </c>
      <c r="F8" s="185">
        <v>210.99</v>
      </c>
      <c r="G8" s="185">
        <v>215.85</v>
      </c>
      <c r="H8" s="185">
        <v>213.65</v>
      </c>
      <c r="I8" s="185">
        <v>210.07</v>
      </c>
      <c r="J8" s="185">
        <v>193.07</v>
      </c>
      <c r="K8" s="185">
        <v>196.38</v>
      </c>
      <c r="L8" s="185">
        <v>199.05</v>
      </c>
      <c r="M8" s="185">
        <v>201.54</v>
      </c>
      <c r="N8" s="185">
        <v>203.91</v>
      </c>
      <c r="O8" s="185">
        <v>207.14</v>
      </c>
      <c r="P8" s="185">
        <v>212.19</v>
      </c>
      <c r="Q8" s="185">
        <v>217.65</v>
      </c>
      <c r="R8" s="185">
        <v>223.52</v>
      </c>
      <c r="S8" s="185">
        <v>228.69</v>
      </c>
      <c r="T8" s="185">
        <v>234.66</v>
      </c>
      <c r="U8" s="185">
        <v>240.3</v>
      </c>
      <c r="V8" s="185">
        <v>245.53</v>
      </c>
      <c r="W8" s="185">
        <v>251.1</v>
      </c>
      <c r="X8" s="185">
        <v>256.91000000000003</v>
      </c>
      <c r="Y8" s="185">
        <v>262.83</v>
      </c>
      <c r="Z8" s="185">
        <v>269.37</v>
      </c>
      <c r="AA8" s="185">
        <v>276.17</v>
      </c>
      <c r="AB8" s="185">
        <v>282.98</v>
      </c>
      <c r="AC8" s="185">
        <v>290.05</v>
      </c>
      <c r="AD8" s="185">
        <v>297.62</v>
      </c>
      <c r="AE8" s="185">
        <v>304.49</v>
      </c>
      <c r="AF8" s="185">
        <v>311.5</v>
      </c>
      <c r="AG8" s="185">
        <v>318.7</v>
      </c>
      <c r="AH8" s="185">
        <v>326.24</v>
      </c>
      <c r="AI8" s="185">
        <v>334.31</v>
      </c>
      <c r="AJ8" s="185">
        <v>342.67</v>
      </c>
      <c r="AK8" s="185">
        <v>351.49</v>
      </c>
      <c r="AL8" s="185">
        <v>360.41</v>
      </c>
      <c r="AM8" s="185">
        <v>369.89</v>
      </c>
      <c r="AN8" s="185">
        <v>380</v>
      </c>
    </row>
    <row r="9" spans="1:40">
      <c r="A9" s="35" t="s">
        <v>523</v>
      </c>
      <c r="B9" s="185">
        <v>93.1</v>
      </c>
      <c r="C9" s="185">
        <v>94.81</v>
      </c>
      <c r="D9" s="185">
        <v>96.04</v>
      </c>
      <c r="E9" s="185">
        <v>96.13</v>
      </c>
      <c r="F9" s="185">
        <v>97.44</v>
      </c>
      <c r="G9" s="185">
        <v>97.81</v>
      </c>
      <c r="H9" s="185">
        <v>98.48</v>
      </c>
      <c r="I9" s="185">
        <v>97.71</v>
      </c>
      <c r="J9" s="185">
        <v>92.79</v>
      </c>
      <c r="K9" s="185">
        <v>95.58</v>
      </c>
      <c r="L9" s="185">
        <v>98.13</v>
      </c>
      <c r="M9" s="185">
        <v>100.22</v>
      </c>
      <c r="N9" s="185">
        <v>102.18</v>
      </c>
      <c r="O9" s="185">
        <v>104.28</v>
      </c>
      <c r="P9" s="185">
        <v>107.16</v>
      </c>
      <c r="Q9" s="185">
        <v>109.9</v>
      </c>
      <c r="R9" s="185">
        <v>112.65</v>
      </c>
      <c r="S9" s="185">
        <v>115.22</v>
      </c>
      <c r="T9" s="185">
        <v>117.84</v>
      </c>
      <c r="U9" s="185">
        <v>120.44</v>
      </c>
      <c r="V9" s="185">
        <v>122.85</v>
      </c>
      <c r="W9" s="185">
        <v>125.47</v>
      </c>
      <c r="X9" s="185">
        <v>128.21</v>
      </c>
      <c r="Y9" s="185">
        <v>131.01</v>
      </c>
      <c r="Z9" s="185">
        <v>134.12</v>
      </c>
      <c r="AA9" s="185">
        <v>137.33000000000001</v>
      </c>
      <c r="AB9" s="185">
        <v>140.49</v>
      </c>
      <c r="AC9" s="185">
        <v>143.72</v>
      </c>
      <c r="AD9" s="185">
        <v>147.09</v>
      </c>
      <c r="AE9" s="185">
        <v>150.19</v>
      </c>
      <c r="AF9" s="185">
        <v>153.37</v>
      </c>
      <c r="AG9" s="185">
        <v>156.65</v>
      </c>
      <c r="AH9" s="185">
        <v>160.22</v>
      </c>
      <c r="AI9" s="185">
        <v>164.01</v>
      </c>
      <c r="AJ9" s="185">
        <v>167.91</v>
      </c>
      <c r="AK9" s="185">
        <v>171.93</v>
      </c>
      <c r="AL9" s="185">
        <v>175.86</v>
      </c>
      <c r="AM9" s="185">
        <v>180.05</v>
      </c>
      <c r="AN9" s="185">
        <v>184.39</v>
      </c>
    </row>
    <row r="10" spans="1:40">
      <c r="A10" s="35" t="s">
        <v>524</v>
      </c>
      <c r="B10" s="185">
        <v>235.5</v>
      </c>
      <c r="C10" s="185">
        <v>241.63</v>
      </c>
      <c r="D10" s="185">
        <v>245.65</v>
      </c>
      <c r="E10" s="185">
        <v>248.47</v>
      </c>
      <c r="F10" s="185">
        <v>251.07</v>
      </c>
      <c r="G10" s="185">
        <v>252.54</v>
      </c>
      <c r="H10" s="185">
        <v>254.74</v>
      </c>
      <c r="I10" s="185">
        <v>254.67</v>
      </c>
      <c r="J10" s="185">
        <v>230.24</v>
      </c>
      <c r="K10" s="185">
        <v>236.69</v>
      </c>
      <c r="L10" s="185">
        <v>242.59</v>
      </c>
      <c r="M10" s="185">
        <v>248.33</v>
      </c>
      <c r="N10" s="185">
        <v>253.83</v>
      </c>
      <c r="O10" s="185">
        <v>259.61</v>
      </c>
      <c r="P10" s="185">
        <v>266.92</v>
      </c>
      <c r="Q10" s="185">
        <v>274.13</v>
      </c>
      <c r="R10" s="185">
        <v>281.63</v>
      </c>
      <c r="S10" s="185">
        <v>289.23</v>
      </c>
      <c r="T10" s="185">
        <v>297.02</v>
      </c>
      <c r="U10" s="185">
        <v>305.64</v>
      </c>
      <c r="V10" s="185">
        <v>313.91000000000003</v>
      </c>
      <c r="W10" s="185">
        <v>323.06</v>
      </c>
      <c r="X10" s="185">
        <v>332.87</v>
      </c>
      <c r="Y10" s="185">
        <v>343.27</v>
      </c>
      <c r="Z10" s="185">
        <v>354.09</v>
      </c>
      <c r="AA10" s="185">
        <v>365.3</v>
      </c>
      <c r="AB10" s="185">
        <v>376.62</v>
      </c>
      <c r="AC10" s="185">
        <v>388.36</v>
      </c>
      <c r="AD10" s="185">
        <v>400.79</v>
      </c>
      <c r="AE10" s="185">
        <v>413.32</v>
      </c>
      <c r="AF10" s="185">
        <v>426.43</v>
      </c>
      <c r="AG10" s="185">
        <v>440.09</v>
      </c>
      <c r="AH10" s="185">
        <v>454.44</v>
      </c>
      <c r="AI10" s="185">
        <v>469.74</v>
      </c>
      <c r="AJ10" s="185">
        <v>485.82</v>
      </c>
      <c r="AK10" s="185">
        <v>502.71</v>
      </c>
      <c r="AL10" s="185">
        <v>519.79999999999995</v>
      </c>
      <c r="AM10" s="185">
        <v>537.78</v>
      </c>
      <c r="AN10" s="185">
        <v>556.72</v>
      </c>
    </row>
    <row r="11" spans="1:40">
      <c r="A11" s="35" t="s">
        <v>525</v>
      </c>
      <c r="B11" s="185">
        <v>17.78</v>
      </c>
      <c r="C11" s="185">
        <v>18.190000000000001</v>
      </c>
      <c r="D11" s="185">
        <v>18.54</v>
      </c>
      <c r="E11" s="185">
        <v>18.73</v>
      </c>
      <c r="F11" s="185">
        <v>19.13</v>
      </c>
      <c r="G11" s="185">
        <v>19.23</v>
      </c>
      <c r="H11" s="185">
        <v>19.5</v>
      </c>
      <c r="I11" s="185">
        <v>19.52</v>
      </c>
      <c r="J11" s="185">
        <v>18.16</v>
      </c>
      <c r="K11" s="185">
        <v>18.68</v>
      </c>
      <c r="L11" s="185">
        <v>19.149999999999999</v>
      </c>
      <c r="M11" s="185">
        <v>19.61</v>
      </c>
      <c r="N11" s="185">
        <v>20.04</v>
      </c>
      <c r="O11" s="185">
        <v>20.51</v>
      </c>
      <c r="P11" s="185">
        <v>21.11</v>
      </c>
      <c r="Q11" s="185">
        <v>21.69</v>
      </c>
      <c r="R11" s="185">
        <v>22.28</v>
      </c>
      <c r="S11" s="185">
        <v>22.83</v>
      </c>
      <c r="T11" s="185">
        <v>23.42</v>
      </c>
      <c r="U11" s="185">
        <v>24.02</v>
      </c>
      <c r="V11" s="185">
        <v>24.61</v>
      </c>
      <c r="W11" s="185">
        <v>25.26</v>
      </c>
      <c r="X11" s="185">
        <v>25.94</v>
      </c>
      <c r="Y11" s="185">
        <v>26.65</v>
      </c>
      <c r="Z11" s="185">
        <v>27.42</v>
      </c>
      <c r="AA11" s="185">
        <v>28.22</v>
      </c>
      <c r="AB11" s="185">
        <v>29.03</v>
      </c>
      <c r="AC11" s="185">
        <v>29.88</v>
      </c>
      <c r="AD11" s="185">
        <v>30.78</v>
      </c>
      <c r="AE11" s="185">
        <v>31.65</v>
      </c>
      <c r="AF11" s="185">
        <v>32.57</v>
      </c>
      <c r="AG11" s="185">
        <v>33.53</v>
      </c>
      <c r="AH11" s="185">
        <v>34.54</v>
      </c>
      <c r="AI11" s="185">
        <v>35.619999999999997</v>
      </c>
      <c r="AJ11" s="185">
        <v>36.75</v>
      </c>
      <c r="AK11" s="185">
        <v>37.93</v>
      </c>
      <c r="AL11" s="185">
        <v>39.130000000000003</v>
      </c>
      <c r="AM11" s="185">
        <v>40.380000000000003</v>
      </c>
      <c r="AN11" s="185">
        <v>41.7</v>
      </c>
    </row>
    <row r="12" spans="1:40">
      <c r="A12" s="35" t="s">
        <v>526</v>
      </c>
      <c r="B12" s="185">
        <v>52.81</v>
      </c>
      <c r="C12" s="185">
        <v>54.31</v>
      </c>
      <c r="D12" s="185">
        <v>55.26</v>
      </c>
      <c r="E12" s="185">
        <v>55.73</v>
      </c>
      <c r="F12" s="185">
        <v>56.3</v>
      </c>
      <c r="G12" s="185">
        <v>56.6</v>
      </c>
      <c r="H12" s="185">
        <v>57.09</v>
      </c>
      <c r="I12" s="185">
        <v>56.96</v>
      </c>
      <c r="J12" s="185">
        <v>52.37</v>
      </c>
      <c r="K12" s="185">
        <v>53.76</v>
      </c>
      <c r="L12" s="185">
        <v>55.02</v>
      </c>
      <c r="M12" s="185">
        <v>56.21</v>
      </c>
      <c r="N12" s="185">
        <v>57.35</v>
      </c>
      <c r="O12" s="185">
        <v>58.59</v>
      </c>
      <c r="P12" s="185">
        <v>60.17</v>
      </c>
      <c r="Q12" s="185">
        <v>61.72</v>
      </c>
      <c r="R12" s="185">
        <v>63.31</v>
      </c>
      <c r="S12" s="185">
        <v>65.09</v>
      </c>
      <c r="T12" s="185">
        <v>66.930000000000007</v>
      </c>
      <c r="U12" s="185">
        <v>68.83</v>
      </c>
      <c r="V12" s="185">
        <v>70.67</v>
      </c>
      <c r="W12" s="185">
        <v>72.69</v>
      </c>
      <c r="X12" s="185">
        <v>74.849999999999994</v>
      </c>
      <c r="Y12" s="185">
        <v>77.23</v>
      </c>
      <c r="Z12" s="185">
        <v>79.680000000000007</v>
      </c>
      <c r="AA12" s="185">
        <v>82.2</v>
      </c>
      <c r="AB12" s="185">
        <v>84.75</v>
      </c>
      <c r="AC12" s="185">
        <v>87.38</v>
      </c>
      <c r="AD12" s="185">
        <v>90.15</v>
      </c>
      <c r="AE12" s="185">
        <v>92.83</v>
      </c>
      <c r="AF12" s="185">
        <v>95.65</v>
      </c>
      <c r="AG12" s="185">
        <v>98.6</v>
      </c>
      <c r="AH12" s="185">
        <v>101.7</v>
      </c>
      <c r="AI12" s="185">
        <v>105</v>
      </c>
      <c r="AJ12" s="185">
        <v>108.37</v>
      </c>
      <c r="AK12" s="185">
        <v>111.9</v>
      </c>
      <c r="AL12" s="185">
        <v>115.47</v>
      </c>
      <c r="AM12" s="185">
        <v>119.23</v>
      </c>
      <c r="AN12" s="185">
        <v>123.19</v>
      </c>
    </row>
    <row r="13" spans="1:40">
      <c r="A13" s="35" t="s">
        <v>527</v>
      </c>
      <c r="B13" s="185">
        <v>14.11</v>
      </c>
      <c r="C13" s="185">
        <v>14.52</v>
      </c>
      <c r="D13" s="185">
        <v>14.79</v>
      </c>
      <c r="E13" s="185">
        <v>15.03</v>
      </c>
      <c r="F13" s="185">
        <v>15.21</v>
      </c>
      <c r="G13" s="185">
        <v>15.35</v>
      </c>
      <c r="H13" s="185">
        <v>15.51</v>
      </c>
      <c r="I13" s="185">
        <v>15.54</v>
      </c>
      <c r="J13" s="185">
        <v>14.21</v>
      </c>
      <c r="K13" s="185">
        <v>14.6</v>
      </c>
      <c r="L13" s="185">
        <v>14.95</v>
      </c>
      <c r="M13" s="185">
        <v>15.3</v>
      </c>
      <c r="N13" s="185">
        <v>15.64</v>
      </c>
      <c r="O13" s="185">
        <v>16</v>
      </c>
      <c r="P13" s="185">
        <v>16.440000000000001</v>
      </c>
      <c r="Q13" s="185">
        <v>16.88</v>
      </c>
      <c r="R13" s="185">
        <v>17.34</v>
      </c>
      <c r="S13" s="185">
        <v>17.8</v>
      </c>
      <c r="T13" s="185">
        <v>18.27</v>
      </c>
      <c r="U13" s="185">
        <v>18.809999999999999</v>
      </c>
      <c r="V13" s="185">
        <v>19.32</v>
      </c>
      <c r="W13" s="185">
        <v>19.88</v>
      </c>
      <c r="X13" s="185">
        <v>20.49</v>
      </c>
      <c r="Y13" s="185">
        <v>21.14</v>
      </c>
      <c r="Z13" s="185">
        <v>21.81</v>
      </c>
      <c r="AA13" s="185">
        <v>22.5</v>
      </c>
      <c r="AB13" s="185">
        <v>23.19</v>
      </c>
      <c r="AC13" s="185">
        <v>23.92</v>
      </c>
      <c r="AD13" s="185">
        <v>24.68</v>
      </c>
      <c r="AE13" s="185">
        <v>25.46</v>
      </c>
      <c r="AF13" s="185">
        <v>26.29</v>
      </c>
      <c r="AG13" s="185">
        <v>27.15</v>
      </c>
      <c r="AH13" s="185">
        <v>28.04</v>
      </c>
      <c r="AI13" s="185">
        <v>28.99</v>
      </c>
      <c r="AJ13" s="185">
        <v>30</v>
      </c>
      <c r="AK13" s="185">
        <v>31.06</v>
      </c>
      <c r="AL13" s="185">
        <v>32.130000000000003</v>
      </c>
      <c r="AM13" s="185">
        <v>33.26</v>
      </c>
      <c r="AN13" s="185">
        <v>34.44</v>
      </c>
    </row>
    <row r="14" spans="1:40">
      <c r="A14" s="35" t="s">
        <v>388</v>
      </c>
      <c r="B14" s="185">
        <v>13.35</v>
      </c>
      <c r="C14" s="185">
        <v>13.74</v>
      </c>
      <c r="D14" s="185">
        <v>13.91</v>
      </c>
      <c r="E14" s="185">
        <v>14.13</v>
      </c>
      <c r="F14" s="185">
        <v>14.15</v>
      </c>
      <c r="G14" s="185">
        <v>14.18</v>
      </c>
      <c r="H14" s="185">
        <v>14.21</v>
      </c>
      <c r="I14" s="185">
        <v>14.08</v>
      </c>
      <c r="J14" s="185">
        <v>12.26</v>
      </c>
      <c r="K14" s="185">
        <v>12.65</v>
      </c>
      <c r="L14" s="185">
        <v>12.9</v>
      </c>
      <c r="M14" s="185">
        <v>13.13</v>
      </c>
      <c r="N14" s="185">
        <v>13.34</v>
      </c>
      <c r="O14" s="185">
        <v>13.63</v>
      </c>
      <c r="P14" s="185">
        <v>14.12</v>
      </c>
      <c r="Q14" s="185">
        <v>14.6</v>
      </c>
      <c r="R14" s="185">
        <v>15.08</v>
      </c>
      <c r="S14" s="185">
        <v>15.43</v>
      </c>
      <c r="T14" s="185">
        <v>15.88</v>
      </c>
      <c r="U14" s="185">
        <v>16.239999999999998</v>
      </c>
      <c r="V14" s="185">
        <v>16.559999999999999</v>
      </c>
      <c r="W14" s="185">
        <v>16.93</v>
      </c>
      <c r="X14" s="185">
        <v>17.34</v>
      </c>
      <c r="Y14" s="185">
        <v>17.73</v>
      </c>
      <c r="Z14" s="185">
        <v>18.190000000000001</v>
      </c>
      <c r="AA14" s="185">
        <v>18.670000000000002</v>
      </c>
      <c r="AB14" s="185">
        <v>19.14</v>
      </c>
      <c r="AC14" s="185">
        <v>19.63</v>
      </c>
      <c r="AD14" s="185">
        <v>20.14</v>
      </c>
      <c r="AE14" s="185">
        <v>20.57</v>
      </c>
      <c r="AF14" s="185">
        <v>21.03</v>
      </c>
      <c r="AG14" s="185">
        <v>21.51</v>
      </c>
      <c r="AH14" s="185">
        <v>22.03</v>
      </c>
      <c r="AI14" s="185">
        <v>22.59</v>
      </c>
      <c r="AJ14" s="185">
        <v>23.19</v>
      </c>
      <c r="AK14" s="185">
        <v>23.82</v>
      </c>
      <c r="AL14" s="185">
        <v>24.47</v>
      </c>
      <c r="AM14" s="185">
        <v>25.16</v>
      </c>
      <c r="AN14" s="185">
        <v>25.89</v>
      </c>
    </row>
    <row r="15" spans="1:40">
      <c r="A15" s="35" t="s">
        <v>528</v>
      </c>
      <c r="B15" s="185">
        <v>10.11</v>
      </c>
      <c r="C15" s="185">
        <v>8.43</v>
      </c>
      <c r="D15" s="185">
        <v>7.26</v>
      </c>
      <c r="E15" s="185">
        <v>6.85</v>
      </c>
      <c r="F15" s="185">
        <v>6.43</v>
      </c>
      <c r="G15" s="185">
        <v>5.96</v>
      </c>
      <c r="H15" s="185">
        <v>5.84</v>
      </c>
      <c r="I15" s="185">
        <v>5.52</v>
      </c>
      <c r="J15" s="185">
        <v>4.53</v>
      </c>
      <c r="K15" s="185">
        <v>4.6900000000000004</v>
      </c>
      <c r="L15" s="185">
        <v>4.71</v>
      </c>
      <c r="M15" s="185">
        <v>4.74</v>
      </c>
      <c r="N15" s="185">
        <v>4.7699999999999996</v>
      </c>
      <c r="O15" s="185">
        <v>4.84</v>
      </c>
      <c r="P15" s="185">
        <v>5.01</v>
      </c>
      <c r="Q15" s="185">
        <v>5.21</v>
      </c>
      <c r="R15" s="185">
        <v>5.45</v>
      </c>
      <c r="S15" s="185">
        <v>5.64</v>
      </c>
      <c r="T15" s="185">
        <v>5.88</v>
      </c>
      <c r="U15" s="185">
        <v>6.08</v>
      </c>
      <c r="V15" s="185">
        <v>6.21</v>
      </c>
      <c r="W15" s="185">
        <v>6.36</v>
      </c>
      <c r="X15" s="185">
        <v>6.52</v>
      </c>
      <c r="Y15" s="185">
        <v>6.66</v>
      </c>
      <c r="Z15" s="185">
        <v>6.83</v>
      </c>
      <c r="AA15" s="185">
        <v>7</v>
      </c>
      <c r="AB15" s="185">
        <v>7.17</v>
      </c>
      <c r="AC15" s="185">
        <v>7.34</v>
      </c>
      <c r="AD15" s="185">
        <v>7.52</v>
      </c>
      <c r="AE15" s="185">
        <v>7.63</v>
      </c>
      <c r="AF15" s="185">
        <v>7.74</v>
      </c>
      <c r="AG15" s="185">
        <v>7.85</v>
      </c>
      <c r="AH15" s="185">
        <v>7.96</v>
      </c>
      <c r="AI15" s="185">
        <v>8.08</v>
      </c>
      <c r="AJ15" s="185">
        <v>8.2100000000000009</v>
      </c>
      <c r="AK15" s="185">
        <v>8.35</v>
      </c>
      <c r="AL15" s="185">
        <v>8.49</v>
      </c>
      <c r="AM15" s="185">
        <v>8.65</v>
      </c>
      <c r="AN15" s="185">
        <v>8.82</v>
      </c>
    </row>
    <row r="16" spans="1:40">
      <c r="A16" s="35" t="s">
        <v>602</v>
      </c>
      <c r="S16" s="185">
        <v>0.63</v>
      </c>
      <c r="T16" s="185">
        <v>1.1000000000000001</v>
      </c>
      <c r="U16" s="185">
        <v>1.62</v>
      </c>
      <c r="V16" s="185">
        <v>2.14</v>
      </c>
      <c r="W16" s="185">
        <v>2.65</v>
      </c>
      <c r="X16" s="185">
        <v>3.15</v>
      </c>
      <c r="Y16" s="185">
        <v>3.95</v>
      </c>
      <c r="Z16" s="185">
        <v>4.43</v>
      </c>
      <c r="AA16" s="185">
        <v>4.9000000000000004</v>
      </c>
      <c r="AB16" s="185">
        <v>5.38</v>
      </c>
      <c r="AC16" s="185">
        <v>5.86</v>
      </c>
      <c r="AD16" s="185">
        <v>6.34</v>
      </c>
      <c r="AE16" s="185">
        <v>6.79</v>
      </c>
      <c r="AF16" s="185">
        <v>7.25</v>
      </c>
      <c r="AG16" s="185">
        <v>7.7</v>
      </c>
      <c r="AH16" s="185">
        <v>8.15</v>
      </c>
      <c r="AI16" s="185">
        <v>8.6</v>
      </c>
      <c r="AJ16" s="185">
        <v>8.86</v>
      </c>
      <c r="AK16" s="185">
        <v>9.1199999999999992</v>
      </c>
      <c r="AL16" s="185">
        <v>9.3800000000000008</v>
      </c>
      <c r="AM16" s="185">
        <v>9.64</v>
      </c>
      <c r="AN16" s="185">
        <v>9.9</v>
      </c>
    </row>
    <row r="17" spans="1:40">
      <c r="A17" s="35" t="s">
        <v>529</v>
      </c>
      <c r="B17" s="185">
        <v>84.25</v>
      </c>
      <c r="C17" s="185">
        <v>83.73</v>
      </c>
      <c r="D17" s="185">
        <v>83.25</v>
      </c>
      <c r="E17" s="185">
        <v>82.69</v>
      </c>
      <c r="F17" s="185">
        <v>81.209999999999994</v>
      </c>
      <c r="G17" s="185">
        <v>80.83</v>
      </c>
      <c r="H17" s="185">
        <v>80.180000000000007</v>
      </c>
      <c r="I17" s="185">
        <v>78.209999999999994</v>
      </c>
      <c r="J17" s="185">
        <v>76.040000000000006</v>
      </c>
      <c r="K17" s="185">
        <v>77.260000000000005</v>
      </c>
      <c r="L17" s="185">
        <v>76.540000000000006</v>
      </c>
      <c r="M17" s="185">
        <v>77.84</v>
      </c>
      <c r="N17" s="185">
        <v>78.83</v>
      </c>
      <c r="O17" s="185">
        <v>79.89</v>
      </c>
      <c r="P17" s="185">
        <v>81.33</v>
      </c>
      <c r="Q17" s="185">
        <v>83.16</v>
      </c>
      <c r="R17" s="185">
        <v>84.74</v>
      </c>
      <c r="S17" s="185">
        <v>87.09</v>
      </c>
      <c r="T17" s="185">
        <v>89.18</v>
      </c>
      <c r="U17" s="185">
        <v>91.58</v>
      </c>
      <c r="V17" s="185">
        <v>93.3</v>
      </c>
      <c r="W17" s="185">
        <v>95.88</v>
      </c>
      <c r="X17" s="185">
        <v>98.58</v>
      </c>
      <c r="Y17" s="185">
        <v>102.12</v>
      </c>
      <c r="Z17" s="185">
        <v>104.15</v>
      </c>
      <c r="AA17" s="185">
        <v>106.44</v>
      </c>
      <c r="AB17" s="185">
        <v>108.7</v>
      </c>
      <c r="AC17" s="185">
        <v>110.96</v>
      </c>
      <c r="AD17" s="185">
        <v>113.25</v>
      </c>
      <c r="AE17" s="185">
        <v>116.13</v>
      </c>
      <c r="AF17" s="185">
        <v>119.11</v>
      </c>
      <c r="AG17" s="185">
        <v>122.09</v>
      </c>
      <c r="AH17" s="185">
        <v>125.09</v>
      </c>
      <c r="AI17" s="185">
        <v>128.13</v>
      </c>
      <c r="AJ17" s="185">
        <v>131.97</v>
      </c>
      <c r="AK17" s="185">
        <v>135.72</v>
      </c>
      <c r="AL17" s="185">
        <v>139.46</v>
      </c>
      <c r="AM17" s="185">
        <v>143.13999999999999</v>
      </c>
      <c r="AN17" s="185">
        <v>146.85</v>
      </c>
    </row>
    <row r="18" spans="1:40">
      <c r="A18" s="35" t="s">
        <v>596</v>
      </c>
      <c r="B18" s="185">
        <v>21.15</v>
      </c>
      <c r="C18" s="185">
        <v>22.37</v>
      </c>
      <c r="D18" s="185">
        <v>23.86</v>
      </c>
      <c r="E18" s="185">
        <v>24.79</v>
      </c>
      <c r="F18" s="185">
        <v>25.39</v>
      </c>
      <c r="G18" s="185">
        <v>26.91</v>
      </c>
      <c r="H18" s="185">
        <v>28.69</v>
      </c>
      <c r="I18" s="185">
        <v>29.81</v>
      </c>
      <c r="J18" s="185">
        <v>28.74</v>
      </c>
      <c r="K18" s="185">
        <v>30.06</v>
      </c>
      <c r="L18" s="185">
        <v>31.41</v>
      </c>
      <c r="M18" s="185">
        <v>32.79</v>
      </c>
      <c r="N18" s="185">
        <v>34.18</v>
      </c>
      <c r="O18" s="185">
        <v>35.74</v>
      </c>
      <c r="P18" s="185">
        <v>37.880000000000003</v>
      </c>
      <c r="Q18" s="185">
        <v>40.24</v>
      </c>
      <c r="R18" s="185">
        <v>42.9</v>
      </c>
      <c r="S18" s="185">
        <v>45.9</v>
      </c>
      <c r="T18" s="185">
        <v>49.13</v>
      </c>
      <c r="U18" s="185">
        <v>52.76</v>
      </c>
      <c r="V18" s="185">
        <v>56.4</v>
      </c>
      <c r="W18" s="185">
        <v>60.42</v>
      </c>
      <c r="X18" s="185">
        <v>64.709999999999994</v>
      </c>
      <c r="Y18" s="185">
        <v>69.47</v>
      </c>
      <c r="Z18" s="185">
        <v>74.56</v>
      </c>
      <c r="AA18" s="185">
        <v>79.92</v>
      </c>
      <c r="AB18" s="185">
        <v>85.44</v>
      </c>
      <c r="AC18" s="185">
        <v>91.27</v>
      </c>
      <c r="AD18" s="185">
        <v>97.47</v>
      </c>
      <c r="AE18" s="185">
        <v>103.66</v>
      </c>
      <c r="AF18" s="185">
        <v>109.94</v>
      </c>
      <c r="AG18" s="185">
        <v>116.29</v>
      </c>
      <c r="AH18" s="185">
        <v>122.76</v>
      </c>
      <c r="AI18" s="185">
        <v>129.41999999999999</v>
      </c>
      <c r="AJ18" s="185">
        <v>136.13999999999999</v>
      </c>
      <c r="AK18" s="185">
        <v>142.99</v>
      </c>
      <c r="AL18" s="185">
        <v>149.66</v>
      </c>
      <c r="AM18" s="185">
        <v>156.57</v>
      </c>
      <c r="AN18" s="185">
        <v>163.72</v>
      </c>
    </row>
    <row r="19" spans="1:40">
      <c r="A19" s="35" t="s">
        <v>597</v>
      </c>
      <c r="B19" s="185">
        <v>135.96</v>
      </c>
      <c r="C19" s="185">
        <v>139.72999999999999</v>
      </c>
      <c r="D19" s="185">
        <v>142.69999999999999</v>
      </c>
      <c r="E19" s="185">
        <v>144.16</v>
      </c>
      <c r="F19" s="185">
        <v>145.31</v>
      </c>
      <c r="G19" s="185">
        <v>147.16</v>
      </c>
      <c r="H19" s="185">
        <v>148.75</v>
      </c>
      <c r="I19" s="185">
        <v>149.16999999999999</v>
      </c>
      <c r="J19" s="185">
        <v>138.22</v>
      </c>
      <c r="K19" s="185">
        <v>141.11000000000001</v>
      </c>
      <c r="L19" s="185">
        <v>144.02000000000001</v>
      </c>
      <c r="M19" s="185">
        <v>146.85</v>
      </c>
      <c r="N19" s="185">
        <v>149.56</v>
      </c>
      <c r="O19" s="185">
        <v>152.32</v>
      </c>
      <c r="P19" s="185">
        <v>155.71</v>
      </c>
      <c r="Q19" s="185">
        <v>158.9</v>
      </c>
      <c r="R19" s="185">
        <v>162.26</v>
      </c>
      <c r="S19" s="185">
        <v>165.94</v>
      </c>
      <c r="T19" s="185">
        <v>169.63</v>
      </c>
      <c r="U19" s="185">
        <v>174.19</v>
      </c>
      <c r="V19" s="185">
        <v>178.43</v>
      </c>
      <c r="W19" s="185">
        <v>183.19</v>
      </c>
      <c r="X19" s="185">
        <v>188.3</v>
      </c>
      <c r="Y19" s="185">
        <v>193.91</v>
      </c>
      <c r="Z19" s="185">
        <v>199.62</v>
      </c>
      <c r="AA19" s="185">
        <v>205.55</v>
      </c>
      <c r="AB19" s="185">
        <v>211.53</v>
      </c>
      <c r="AC19" s="185">
        <v>217.76</v>
      </c>
      <c r="AD19" s="185">
        <v>224.36</v>
      </c>
      <c r="AE19" s="185">
        <v>231.21</v>
      </c>
      <c r="AF19" s="185">
        <v>238.37</v>
      </c>
      <c r="AG19" s="185">
        <v>245.82</v>
      </c>
      <c r="AH19" s="185">
        <v>253.64</v>
      </c>
      <c r="AI19" s="185">
        <v>261.98</v>
      </c>
      <c r="AJ19" s="185">
        <v>270.7</v>
      </c>
      <c r="AK19" s="185">
        <v>279.86</v>
      </c>
      <c r="AL19" s="185">
        <v>289.08</v>
      </c>
      <c r="AM19" s="185">
        <v>298.81</v>
      </c>
      <c r="AN19" s="185">
        <v>309.06</v>
      </c>
    </row>
    <row r="20" spans="1:40">
      <c r="A20" s="35" t="s">
        <v>598</v>
      </c>
      <c r="B20" s="185">
        <v>11.26</v>
      </c>
      <c r="C20" s="185">
        <v>11.57</v>
      </c>
      <c r="D20" s="185">
        <v>11.91</v>
      </c>
      <c r="E20" s="185">
        <v>12.12</v>
      </c>
      <c r="F20" s="185">
        <v>12.2</v>
      </c>
      <c r="G20" s="185">
        <v>12.36</v>
      </c>
      <c r="H20" s="185">
        <v>12.64</v>
      </c>
      <c r="I20" s="185">
        <v>12.79</v>
      </c>
      <c r="J20" s="185">
        <v>12</v>
      </c>
      <c r="K20" s="185">
        <v>12.34</v>
      </c>
      <c r="L20" s="185">
        <v>12.61</v>
      </c>
      <c r="M20" s="185">
        <v>12.86</v>
      </c>
      <c r="N20" s="185">
        <v>13.09</v>
      </c>
      <c r="O20" s="185">
        <v>13.32</v>
      </c>
      <c r="P20" s="185">
        <v>13.6</v>
      </c>
      <c r="Q20" s="185">
        <v>13.87</v>
      </c>
      <c r="R20" s="185">
        <v>14.15</v>
      </c>
      <c r="S20" s="185">
        <v>14.45</v>
      </c>
      <c r="T20" s="185">
        <v>14.74</v>
      </c>
      <c r="U20" s="185">
        <v>15.11</v>
      </c>
      <c r="V20" s="185">
        <v>15.46</v>
      </c>
      <c r="W20" s="185">
        <v>15.83</v>
      </c>
      <c r="X20" s="185">
        <v>16.22</v>
      </c>
      <c r="Y20" s="185">
        <v>16.63</v>
      </c>
      <c r="Z20" s="185">
        <v>17.04</v>
      </c>
      <c r="AA20" s="185">
        <v>17.47</v>
      </c>
      <c r="AB20" s="185">
        <v>17.89</v>
      </c>
      <c r="AC20" s="185">
        <v>18.329999999999998</v>
      </c>
      <c r="AD20" s="185">
        <v>18.8</v>
      </c>
      <c r="AE20" s="185">
        <v>19.29</v>
      </c>
      <c r="AF20" s="185">
        <v>19.79</v>
      </c>
      <c r="AG20" s="185">
        <v>20.29</v>
      </c>
      <c r="AH20" s="185">
        <v>20.8</v>
      </c>
      <c r="AI20" s="185">
        <v>21.32</v>
      </c>
      <c r="AJ20" s="185">
        <v>21.84</v>
      </c>
      <c r="AK20" s="185">
        <v>22.38</v>
      </c>
      <c r="AL20" s="185">
        <v>22.91</v>
      </c>
      <c r="AM20" s="185">
        <v>23.46</v>
      </c>
      <c r="AN20" s="185">
        <v>24.05</v>
      </c>
    </row>
    <row r="21" spans="1:40">
      <c r="A21" s="35" t="s">
        <v>599</v>
      </c>
      <c r="B21" s="185">
        <v>1.1399999999999999</v>
      </c>
      <c r="C21" s="185">
        <v>1.1599999999999999</v>
      </c>
      <c r="D21" s="185">
        <v>1.1399999999999999</v>
      </c>
      <c r="E21" s="185">
        <v>1.1299999999999999</v>
      </c>
      <c r="F21" s="185">
        <v>1.1499999999999999</v>
      </c>
      <c r="G21" s="185">
        <v>1.1499999999999999</v>
      </c>
      <c r="H21" s="185">
        <v>1.1200000000000001</v>
      </c>
      <c r="I21" s="185">
        <v>1.0900000000000001</v>
      </c>
      <c r="J21" s="185">
        <v>0.99</v>
      </c>
      <c r="K21" s="185">
        <v>0.99</v>
      </c>
      <c r="L21" s="185">
        <v>1</v>
      </c>
      <c r="M21" s="185">
        <v>1.02</v>
      </c>
      <c r="N21" s="185">
        <v>1.03</v>
      </c>
      <c r="O21" s="185">
        <v>1.05</v>
      </c>
      <c r="P21" s="185">
        <v>1.07</v>
      </c>
      <c r="Q21" s="185">
        <v>1.0900000000000001</v>
      </c>
      <c r="R21" s="185">
        <v>1.1100000000000001</v>
      </c>
      <c r="S21" s="185">
        <v>1.1399999999999999</v>
      </c>
      <c r="T21" s="185">
        <v>1.1599999999999999</v>
      </c>
      <c r="U21" s="185">
        <v>1.2</v>
      </c>
      <c r="V21" s="185">
        <v>1.23</v>
      </c>
      <c r="W21" s="185">
        <v>1.27</v>
      </c>
      <c r="X21" s="185">
        <v>1.31</v>
      </c>
      <c r="Y21" s="185">
        <v>1.36</v>
      </c>
      <c r="Z21" s="185">
        <v>1.42</v>
      </c>
      <c r="AA21" s="185">
        <v>1.47</v>
      </c>
      <c r="AB21" s="185">
        <v>1.53</v>
      </c>
      <c r="AC21" s="185">
        <v>1.58</v>
      </c>
      <c r="AD21" s="185">
        <v>1.65</v>
      </c>
      <c r="AE21" s="185">
        <v>1.71</v>
      </c>
      <c r="AF21" s="185">
        <v>1.79</v>
      </c>
      <c r="AG21" s="185">
        <v>1.87</v>
      </c>
      <c r="AH21" s="185">
        <v>1.95</v>
      </c>
      <c r="AI21" s="185">
        <v>2.0499999999999998</v>
      </c>
      <c r="AJ21" s="185">
        <v>2.16</v>
      </c>
      <c r="AK21" s="185">
        <v>2.2799999999999998</v>
      </c>
      <c r="AL21" s="185">
        <v>2.4</v>
      </c>
      <c r="AM21" s="185">
        <v>2.5299999999999998</v>
      </c>
      <c r="AN21" s="185">
        <v>2.66</v>
      </c>
    </row>
    <row r="22" spans="1:40">
      <c r="A22" s="35" t="s">
        <v>530</v>
      </c>
      <c r="B22" s="185">
        <v>27.52</v>
      </c>
      <c r="C22" s="185">
        <v>27.49</v>
      </c>
      <c r="D22" s="185">
        <v>27.45</v>
      </c>
      <c r="E22" s="185">
        <v>27.42</v>
      </c>
      <c r="F22" s="185">
        <v>27.39</v>
      </c>
      <c r="G22" s="185">
        <v>27.36</v>
      </c>
      <c r="H22" s="185">
        <v>27.33</v>
      </c>
      <c r="I22" s="185">
        <v>27.24</v>
      </c>
      <c r="J22" s="185">
        <v>27.16</v>
      </c>
      <c r="K22" s="185">
        <v>26.07</v>
      </c>
      <c r="L22" s="185">
        <v>25.79</v>
      </c>
      <c r="M22" s="185">
        <v>25.7</v>
      </c>
      <c r="N22" s="185">
        <v>25.62</v>
      </c>
      <c r="O22" s="185">
        <v>24.83</v>
      </c>
      <c r="P22" s="185">
        <v>22.54</v>
      </c>
      <c r="Q22" s="185">
        <v>20.239999999999998</v>
      </c>
      <c r="R22" s="185">
        <v>17.95</v>
      </c>
      <c r="S22" s="185">
        <v>15.66</v>
      </c>
      <c r="T22" s="185">
        <v>13.37</v>
      </c>
      <c r="U22" s="185">
        <v>12.37</v>
      </c>
      <c r="V22" s="185">
        <v>11.37</v>
      </c>
      <c r="W22" s="185">
        <v>10.37</v>
      </c>
      <c r="X22" s="185">
        <v>9.3699999999999992</v>
      </c>
      <c r="Y22" s="185">
        <v>8.41</v>
      </c>
      <c r="Z22" s="185">
        <v>7.24</v>
      </c>
      <c r="AA22" s="185">
        <v>6.06</v>
      </c>
      <c r="AB22" s="185">
        <v>4.88</v>
      </c>
      <c r="AC22" s="185">
        <v>3.7</v>
      </c>
      <c r="AD22" s="185">
        <v>2.52</v>
      </c>
      <c r="AE22" s="185">
        <v>2.52</v>
      </c>
      <c r="AF22" s="185">
        <v>2.52</v>
      </c>
      <c r="AG22" s="185">
        <v>2.52</v>
      </c>
      <c r="AH22" s="185">
        <v>2.52</v>
      </c>
      <c r="AI22" s="185">
        <v>2.52</v>
      </c>
      <c r="AJ22" s="185">
        <v>2.52</v>
      </c>
      <c r="AK22" s="185">
        <v>2.52</v>
      </c>
      <c r="AL22" s="185">
        <v>2.52</v>
      </c>
      <c r="AM22" s="185">
        <v>2.52</v>
      </c>
      <c r="AN22" s="185">
        <v>2.52</v>
      </c>
    </row>
    <row r="23" spans="1:40">
      <c r="A23" s="35" t="s">
        <v>603</v>
      </c>
      <c r="B23" s="185">
        <v>66.42</v>
      </c>
      <c r="C23" s="185">
        <v>65.98</v>
      </c>
      <c r="D23" s="185">
        <v>65.72</v>
      </c>
      <c r="E23" s="185">
        <v>65.459999999999994</v>
      </c>
      <c r="F23" s="185">
        <v>64.28</v>
      </c>
      <c r="G23" s="185">
        <v>63.85</v>
      </c>
      <c r="H23" s="185">
        <v>63.13</v>
      </c>
      <c r="I23" s="185">
        <v>62.24</v>
      </c>
      <c r="J23" s="185">
        <v>61.58</v>
      </c>
      <c r="K23" s="185">
        <v>60.37</v>
      </c>
      <c r="L23" s="185">
        <v>60.1</v>
      </c>
      <c r="M23" s="185">
        <v>59.84</v>
      </c>
      <c r="N23" s="185">
        <v>59.34</v>
      </c>
      <c r="O23" s="185">
        <v>58.75</v>
      </c>
      <c r="P23" s="185">
        <v>56.4</v>
      </c>
      <c r="Q23" s="185">
        <v>53.36</v>
      </c>
      <c r="R23" s="185">
        <v>50.36</v>
      </c>
      <c r="S23" s="185">
        <v>46.96</v>
      </c>
      <c r="T23" s="185">
        <v>43.51</v>
      </c>
      <c r="U23" s="185">
        <v>43.76</v>
      </c>
      <c r="V23" s="185">
        <v>42.68</v>
      </c>
      <c r="W23" s="185">
        <v>42.31</v>
      </c>
      <c r="X23" s="185">
        <v>41.94</v>
      </c>
      <c r="Y23" s="185">
        <v>41.15</v>
      </c>
      <c r="Z23" s="185">
        <v>39.86</v>
      </c>
      <c r="AA23" s="185">
        <v>38.57</v>
      </c>
      <c r="AB23" s="185">
        <v>37.28</v>
      </c>
      <c r="AC23" s="185">
        <v>36</v>
      </c>
      <c r="AD23" s="185">
        <v>34.71</v>
      </c>
      <c r="AE23" s="185">
        <v>34.86</v>
      </c>
      <c r="AF23" s="185">
        <v>35.01</v>
      </c>
      <c r="AG23" s="185">
        <v>35.15</v>
      </c>
      <c r="AH23" s="185">
        <v>35.299999999999997</v>
      </c>
      <c r="AI23" s="185">
        <v>35.450000000000003</v>
      </c>
      <c r="AJ23" s="185">
        <v>35.75</v>
      </c>
      <c r="AK23" s="185">
        <v>36.04</v>
      </c>
      <c r="AL23" s="185">
        <v>36.340000000000003</v>
      </c>
      <c r="AM23" s="185">
        <v>36.64</v>
      </c>
      <c r="AN23" s="185">
        <v>36.93</v>
      </c>
    </row>
    <row r="41" spans="1:39">
      <c r="A41" s="132"/>
      <c r="B41" s="132"/>
      <c r="C41" s="132"/>
      <c r="D41" s="132"/>
      <c r="E41" s="132"/>
      <c r="F41" s="132"/>
      <c r="G41" s="132"/>
      <c r="H41" s="132"/>
      <c r="I41" s="132"/>
    </row>
    <row r="42" spans="1:39">
      <c r="A42" s="35" t="s">
        <v>556</v>
      </c>
      <c r="B42" s="35" t="s">
        <v>565</v>
      </c>
      <c r="C42" s="35" t="s">
        <v>566</v>
      </c>
      <c r="D42" s="35" t="s">
        <v>557</v>
      </c>
      <c r="E42" s="35" t="s">
        <v>567</v>
      </c>
      <c r="F42" s="35" t="s">
        <v>568</v>
      </c>
      <c r="G42" s="35" t="s">
        <v>569</v>
      </c>
      <c r="H42" s="35" t="s">
        <v>570</v>
      </c>
      <c r="I42" s="35" t="s">
        <v>558</v>
      </c>
      <c r="J42" s="35" t="s">
        <v>571</v>
      </c>
      <c r="K42" s="35" t="s">
        <v>572</v>
      </c>
      <c r="L42" s="35" t="s">
        <v>573</v>
      </c>
      <c r="M42" s="35" t="s">
        <v>574</v>
      </c>
      <c r="N42" s="35" t="s">
        <v>559</v>
      </c>
      <c r="O42" s="35" t="s">
        <v>575</v>
      </c>
      <c r="P42" s="35" t="s">
        <v>576</v>
      </c>
      <c r="Q42" s="35" t="s">
        <v>577</v>
      </c>
      <c r="R42" s="35" t="s">
        <v>578</v>
      </c>
      <c r="S42" s="35" t="s">
        <v>560</v>
      </c>
      <c r="T42" s="35" t="s">
        <v>579</v>
      </c>
      <c r="U42" s="35" t="s">
        <v>580</v>
      </c>
      <c r="V42" s="35" t="s">
        <v>581</v>
      </c>
      <c r="W42" s="35" t="s">
        <v>582</v>
      </c>
      <c r="X42" s="35" t="s">
        <v>561</v>
      </c>
      <c r="Y42" s="35" t="s">
        <v>583</v>
      </c>
      <c r="Z42" s="35" t="s">
        <v>584</v>
      </c>
      <c r="AA42" s="35" t="s">
        <v>585</v>
      </c>
      <c r="AB42" s="35" t="s">
        <v>586</v>
      </c>
      <c r="AC42" s="35" t="s">
        <v>562</v>
      </c>
      <c r="AD42" s="35" t="s">
        <v>587</v>
      </c>
      <c r="AE42" s="35" t="s">
        <v>588</v>
      </c>
      <c r="AF42" s="35" t="s">
        <v>589</v>
      </c>
      <c r="AG42" s="35" t="s">
        <v>590</v>
      </c>
      <c r="AH42" s="35" t="s">
        <v>563</v>
      </c>
      <c r="AI42" s="35" t="s">
        <v>591</v>
      </c>
      <c r="AJ42" s="35" t="s">
        <v>592</v>
      </c>
      <c r="AK42" s="35" t="s">
        <v>593</v>
      </c>
      <c r="AL42" s="35" t="s">
        <v>594</v>
      </c>
      <c r="AM42" s="35" t="s">
        <v>564</v>
      </c>
    </row>
    <row r="43" spans="1:39">
      <c r="A43" s="185">
        <v>52325.432882070083</v>
      </c>
      <c r="B43" s="185">
        <v>53104.386458423345</v>
      </c>
      <c r="C43" s="185">
        <v>53912.365691429273</v>
      </c>
      <c r="D43" s="185">
        <v>54750.491457321114</v>
      </c>
      <c r="E43" s="185">
        <v>55619.940469824825</v>
      </c>
      <c r="F43" s="185">
        <v>56521.948041648095</v>
      </c>
      <c r="G43" s="185">
        <v>57436.000617299658</v>
      </c>
      <c r="H43" s="185">
        <v>58364.834921819442</v>
      </c>
      <c r="I43" s="185">
        <v>59308.69</v>
      </c>
      <c r="J43" s="185">
        <v>59991.580449204266</v>
      </c>
      <c r="K43" s="185">
        <v>60682.333816399376</v>
      </c>
      <c r="L43" s="185">
        <v>61381.040636574369</v>
      </c>
      <c r="M43" s="185">
        <v>62087.792487153696</v>
      </c>
      <c r="N43" s="185">
        <v>62802.682000000023</v>
      </c>
      <c r="O43" s="185">
        <v>63421.065342005146</v>
      </c>
      <c r="P43" s="185">
        <v>64045.537563425794</v>
      </c>
      <c r="Q43" s="185">
        <v>64676.158618096451</v>
      </c>
      <c r="R43" s="185">
        <v>65312.989050183925</v>
      </c>
      <c r="S43" s="185">
        <v>65956.09</v>
      </c>
      <c r="T43" s="185">
        <v>66518.97719068767</v>
      </c>
      <c r="U43" s="185">
        <v>67086.668213583107</v>
      </c>
      <c r="V43" s="185">
        <v>67659.20406589545</v>
      </c>
      <c r="W43" s="185">
        <v>68236.62609471516</v>
      </c>
      <c r="X43" s="185">
        <v>68818.97600000001</v>
      </c>
      <c r="Y43" s="185">
        <v>69322.810489383541</v>
      </c>
      <c r="Z43" s="185">
        <v>69830.333629884059</v>
      </c>
      <c r="AA43" s="185">
        <v>70341.572426693441</v>
      </c>
      <c r="AB43" s="185">
        <v>70856.554082712813</v>
      </c>
      <c r="AC43" s="185">
        <v>71375.305999999997</v>
      </c>
      <c r="AD43" s="185">
        <v>71818.612994947311</v>
      </c>
      <c r="AE43" s="185">
        <v>72264.673338395412</v>
      </c>
      <c r="AF43" s="185">
        <v>72713.504131197798</v>
      </c>
      <c r="AG43" s="185">
        <v>73165.122580420139</v>
      </c>
      <c r="AH43" s="185">
        <v>73619.545999999973</v>
      </c>
      <c r="AI43" s="185">
        <v>73995.362001779533</v>
      </c>
      <c r="AJ43" s="185">
        <v>74373.096484110356</v>
      </c>
      <c r="AK43" s="185">
        <v>74752.759240528656</v>
      </c>
      <c r="AL43" s="185">
        <v>75134.360114565105</v>
      </c>
      <c r="AM43" s="185">
        <v>75517.908999999985</v>
      </c>
    </row>
    <row r="60" spans="1:40">
      <c r="B60" s="35" t="s">
        <v>556</v>
      </c>
      <c r="C60" s="35" t="s">
        <v>565</v>
      </c>
      <c r="D60" s="35" t="s">
        <v>566</v>
      </c>
      <c r="E60" s="35" t="s">
        <v>557</v>
      </c>
      <c r="F60" s="35" t="s">
        <v>567</v>
      </c>
      <c r="G60" s="35" t="s">
        <v>568</v>
      </c>
      <c r="H60" s="35" t="s">
        <v>569</v>
      </c>
      <c r="I60" s="35" t="s">
        <v>570</v>
      </c>
      <c r="J60" s="35" t="s">
        <v>558</v>
      </c>
      <c r="K60" s="35" t="s">
        <v>571</v>
      </c>
      <c r="L60" s="35" t="s">
        <v>572</v>
      </c>
      <c r="M60" s="35" t="s">
        <v>573</v>
      </c>
      <c r="N60" s="35" t="s">
        <v>574</v>
      </c>
      <c r="O60" s="35" t="s">
        <v>559</v>
      </c>
      <c r="P60" s="35" t="s">
        <v>575</v>
      </c>
      <c r="Q60" s="35" t="s">
        <v>576</v>
      </c>
      <c r="R60" s="35" t="s">
        <v>577</v>
      </c>
      <c r="S60" s="35" t="s">
        <v>578</v>
      </c>
      <c r="T60" s="35" t="s">
        <v>560</v>
      </c>
      <c r="U60" s="35" t="s">
        <v>579</v>
      </c>
      <c r="V60" s="35" t="s">
        <v>580</v>
      </c>
      <c r="W60" s="35" t="s">
        <v>581</v>
      </c>
      <c r="X60" s="35" t="s">
        <v>582</v>
      </c>
      <c r="Y60" s="35" t="s">
        <v>561</v>
      </c>
      <c r="Z60" s="35" t="s">
        <v>583</v>
      </c>
      <c r="AA60" s="35" t="s">
        <v>584</v>
      </c>
      <c r="AB60" s="35" t="s">
        <v>585</v>
      </c>
      <c r="AC60" s="35" t="s">
        <v>586</v>
      </c>
      <c r="AD60" s="35" t="s">
        <v>562</v>
      </c>
      <c r="AE60" s="35" t="s">
        <v>587</v>
      </c>
      <c r="AF60" s="35" t="s">
        <v>588</v>
      </c>
      <c r="AG60" s="35" t="s">
        <v>589</v>
      </c>
      <c r="AH60" s="35" t="s">
        <v>590</v>
      </c>
      <c r="AI60" s="35" t="s">
        <v>563</v>
      </c>
      <c r="AJ60" s="35" t="s">
        <v>591</v>
      </c>
      <c r="AK60" s="35" t="s">
        <v>592</v>
      </c>
      <c r="AL60" s="35" t="s">
        <v>593</v>
      </c>
      <c r="AM60" s="35" t="s">
        <v>594</v>
      </c>
      <c r="AN60" s="35" t="s">
        <v>564</v>
      </c>
    </row>
    <row r="61" spans="1:40">
      <c r="A61" s="35" t="s">
        <v>275</v>
      </c>
      <c r="B61" s="185">
        <v>0.50003199863472492</v>
      </c>
      <c r="C61" s="185">
        <v>0.49674335943460585</v>
      </c>
      <c r="D61" s="185">
        <v>0.48822868689454441</v>
      </c>
      <c r="E61" s="185">
        <v>0.48147500627885365</v>
      </c>
      <c r="F61" s="185">
        <v>0.47737656478533347</v>
      </c>
      <c r="G61" s="185">
        <v>0.47023794558911891</v>
      </c>
      <c r="H61" s="185">
        <v>0.46353394236211087</v>
      </c>
      <c r="I61" s="185">
        <v>0.46108769196199162</v>
      </c>
      <c r="J61" s="185">
        <v>0.47398769619141334</v>
      </c>
      <c r="K61" s="185">
        <v>0.48802294893321585</v>
      </c>
      <c r="L61" s="185">
        <v>0.48160744524963783</v>
      </c>
      <c r="M61" s="185">
        <v>0.47529731801684205</v>
      </c>
      <c r="N61" s="185">
        <v>0.4689535605229086</v>
      </c>
      <c r="O61" s="185">
        <v>0.46306118439391969</v>
      </c>
      <c r="P61" s="185">
        <v>0.4555068405538002</v>
      </c>
      <c r="Q61" s="185">
        <v>0.44739940977174142</v>
      </c>
      <c r="R61" s="185">
        <v>0.43930961502928784</v>
      </c>
      <c r="S61" s="185">
        <v>0.43052643049427919</v>
      </c>
      <c r="T61" s="185">
        <v>0.42216842844292707</v>
      </c>
      <c r="U61" s="185">
        <v>0.4135496006513194</v>
      </c>
      <c r="V61" s="185">
        <v>0.40521721442606407</v>
      </c>
      <c r="W61" s="185">
        <v>0.39683874390439688</v>
      </c>
      <c r="X61" s="185">
        <v>0.38789767317654972</v>
      </c>
      <c r="Y61" s="185">
        <v>0.37860953755372506</v>
      </c>
      <c r="Z61" s="185">
        <v>0.3694539819598327</v>
      </c>
      <c r="AA61" s="185">
        <v>0.36068644391934845</v>
      </c>
      <c r="AB61" s="185">
        <v>0.35227821304680329</v>
      </c>
      <c r="AC61" s="185">
        <v>0.34415250138874304</v>
      </c>
      <c r="AD61" s="185">
        <v>0.33605734555939903</v>
      </c>
      <c r="AE61" s="185">
        <v>0.32771224641837343</v>
      </c>
      <c r="AF61" s="185">
        <v>0.3195955838917251</v>
      </c>
      <c r="AG61" s="185">
        <v>0.31161667472449101</v>
      </c>
      <c r="AH61" s="185">
        <v>0.30376621559511952</v>
      </c>
      <c r="AI61" s="185">
        <v>0.29595650938485324</v>
      </c>
      <c r="AJ61" s="185">
        <v>0.28826782153236025</v>
      </c>
      <c r="AK61" s="185">
        <v>0.28068634430159989</v>
      </c>
      <c r="AL61" s="185">
        <v>0.27343643787439709</v>
      </c>
      <c r="AM61" s="185">
        <v>0.2664185400721153</v>
      </c>
      <c r="AN61" s="185">
        <v>0.25945257650105208</v>
      </c>
    </row>
    <row r="62" spans="1:40">
      <c r="A62" s="35" t="s">
        <v>276</v>
      </c>
      <c r="B62" s="185">
        <v>0.30001919918083497</v>
      </c>
      <c r="C62" s="185">
        <v>0.29644362454654938</v>
      </c>
      <c r="D62" s="185">
        <v>0.29989890368726985</v>
      </c>
      <c r="E62" s="185">
        <v>0.30319595185227072</v>
      </c>
      <c r="F62" s="185">
        <v>0.30522800836475233</v>
      </c>
      <c r="G62" s="185">
        <v>0.30605482173653453</v>
      </c>
      <c r="H62" s="185">
        <v>0.30932373575545163</v>
      </c>
      <c r="I62" s="185">
        <v>0.31228368417755731</v>
      </c>
      <c r="J62" s="185">
        <v>0.32375163521226069</v>
      </c>
      <c r="K62" s="185">
        <v>0.30681637697278535</v>
      </c>
      <c r="L62" s="185">
        <v>0.30899051207902728</v>
      </c>
      <c r="M62" s="185">
        <v>0.31073061540438202</v>
      </c>
      <c r="N62" s="185">
        <v>0.31288111144304859</v>
      </c>
      <c r="O62" s="185">
        <v>0.31491255593475925</v>
      </c>
      <c r="P62" s="185">
        <v>0.31628939074725432</v>
      </c>
      <c r="Q62" s="185">
        <v>0.31847593645969752</v>
      </c>
      <c r="R62" s="185">
        <v>0.32044792827503243</v>
      </c>
      <c r="S62" s="185">
        <v>0.32217124766279381</v>
      </c>
      <c r="T62" s="185">
        <v>0.32472047549482769</v>
      </c>
      <c r="U62" s="185">
        <v>0.32634303861147274</v>
      </c>
      <c r="V62" s="185">
        <v>0.32889986401097365</v>
      </c>
      <c r="W62" s="185">
        <v>0.33081335717795152</v>
      </c>
      <c r="X62" s="185">
        <v>0.33290577410474198</v>
      </c>
      <c r="Y62" s="185">
        <v>0.3350106446536113</v>
      </c>
      <c r="Z62" s="185">
        <v>0.33736398356282593</v>
      </c>
      <c r="AA62" s="185">
        <v>0.33948242167787424</v>
      </c>
      <c r="AB62" s="185">
        <v>0.34168685597597181</v>
      </c>
      <c r="AC62" s="185">
        <v>0.34372210155141747</v>
      </c>
      <c r="AD62" s="185">
        <v>0.34569570470434441</v>
      </c>
      <c r="AE62" s="185">
        <v>0.3473542306386222</v>
      </c>
      <c r="AF62" s="185">
        <v>0.34891157351144181</v>
      </c>
      <c r="AG62" s="185">
        <v>0.35047596741434678</v>
      </c>
      <c r="AH62" s="185">
        <v>0.3520351033371365</v>
      </c>
      <c r="AI62" s="185">
        <v>0.35353162196051169</v>
      </c>
      <c r="AJ62" s="185">
        <v>0.35519503153173082</v>
      </c>
      <c r="AK62" s="185">
        <v>0.35685939070599704</v>
      </c>
      <c r="AL62" s="185">
        <v>0.35861453802253224</v>
      </c>
      <c r="AM62" s="185">
        <v>0.36021589852188485</v>
      </c>
      <c r="AN62" s="185">
        <v>0.36180135191051532</v>
      </c>
    </row>
    <row r="63" spans="1:40">
      <c r="A63" s="35" t="s">
        <v>277</v>
      </c>
      <c r="B63" s="185">
        <v>0.19994880218444011</v>
      </c>
      <c r="C63" s="185">
        <v>0.20681301601884478</v>
      </c>
      <c r="D63" s="185">
        <v>0.21187240941818569</v>
      </c>
      <c r="E63" s="185">
        <v>0.21532904186887569</v>
      </c>
      <c r="F63" s="185">
        <v>0.21739542684991425</v>
      </c>
      <c r="G63" s="185">
        <v>0.22370723267434656</v>
      </c>
      <c r="H63" s="185">
        <v>0.22714232188243744</v>
      </c>
      <c r="I63" s="185">
        <v>0.22662862386045102</v>
      </c>
      <c r="J63" s="185">
        <v>0.20226066859632597</v>
      </c>
      <c r="K63" s="185">
        <v>0.20516067409399874</v>
      </c>
      <c r="L63" s="185">
        <v>0.20940204267133489</v>
      </c>
      <c r="M63" s="185">
        <v>0.21397206657877588</v>
      </c>
      <c r="N63" s="185">
        <v>0.21816532803404287</v>
      </c>
      <c r="O63" s="185">
        <v>0.22202625967132111</v>
      </c>
      <c r="P63" s="185">
        <v>0.22820376869894543</v>
      </c>
      <c r="Q63" s="185">
        <v>0.23412465376856106</v>
      </c>
      <c r="R63" s="185">
        <v>0.24024245669567973</v>
      </c>
      <c r="S63" s="185">
        <v>0.247302321842927</v>
      </c>
      <c r="T63" s="185">
        <v>0.2531110960622453</v>
      </c>
      <c r="U63" s="185">
        <v>0.26010736073720786</v>
      </c>
      <c r="V63" s="185">
        <v>0.26588292156296223</v>
      </c>
      <c r="W63" s="185">
        <v>0.27234789891765165</v>
      </c>
      <c r="X63" s="185">
        <v>0.2791965527187083</v>
      </c>
      <c r="Y63" s="185">
        <v>0.28637981779266364</v>
      </c>
      <c r="Z63" s="185">
        <v>0.29318203447734137</v>
      </c>
      <c r="AA63" s="185">
        <v>0.29983113440277731</v>
      </c>
      <c r="AB63" s="185">
        <v>0.30603493097722489</v>
      </c>
      <c r="AC63" s="185">
        <v>0.31212539705983949</v>
      </c>
      <c r="AD63" s="185">
        <v>0.31824694973625656</v>
      </c>
      <c r="AE63" s="185">
        <v>0.32493352294300443</v>
      </c>
      <c r="AF63" s="185">
        <v>0.33149284259683304</v>
      </c>
      <c r="AG63" s="185">
        <v>0.33790735786116227</v>
      </c>
      <c r="AH63" s="185">
        <v>0.34419868106774398</v>
      </c>
      <c r="AI63" s="185">
        <v>0.35051186865463507</v>
      </c>
      <c r="AJ63" s="185">
        <v>0.35653714693590893</v>
      </c>
      <c r="AK63" s="185">
        <v>0.36245426499240307</v>
      </c>
      <c r="AL63" s="185">
        <v>0.36794902410307062</v>
      </c>
      <c r="AM63" s="185">
        <v>0.37336556140599986</v>
      </c>
      <c r="AN63" s="185">
        <v>0.3787460715884326</v>
      </c>
    </row>
    <row r="64" spans="1:40">
      <c r="A64" s="35"/>
    </row>
    <row r="65" spans="1:39">
      <c r="A65" s="35"/>
    </row>
    <row r="66" spans="1:39">
      <c r="A66" s="35"/>
    </row>
    <row r="70" spans="1:39">
      <c r="A70" s="35" t="s">
        <v>556</v>
      </c>
      <c r="B70" s="35" t="s">
        <v>565</v>
      </c>
      <c r="C70" s="35" t="s">
        <v>566</v>
      </c>
      <c r="D70" s="35" t="s">
        <v>557</v>
      </c>
      <c r="E70" s="35" t="s">
        <v>567</v>
      </c>
      <c r="F70" s="35" t="s">
        <v>568</v>
      </c>
      <c r="G70" s="35" t="s">
        <v>569</v>
      </c>
      <c r="H70" s="35" t="s">
        <v>570</v>
      </c>
      <c r="I70" s="35" t="s">
        <v>558</v>
      </c>
      <c r="J70" s="35" t="s">
        <v>571</v>
      </c>
      <c r="K70" s="35" t="s">
        <v>572</v>
      </c>
      <c r="L70" s="35" t="s">
        <v>573</v>
      </c>
      <c r="M70" s="35" t="s">
        <v>574</v>
      </c>
      <c r="N70" s="35" t="s">
        <v>559</v>
      </c>
      <c r="O70" s="35" t="s">
        <v>575</v>
      </c>
      <c r="P70" s="35" t="s">
        <v>576</v>
      </c>
      <c r="Q70" s="35" t="s">
        <v>577</v>
      </c>
      <c r="R70" s="35" t="s">
        <v>578</v>
      </c>
      <c r="S70" s="35" t="s">
        <v>560</v>
      </c>
      <c r="T70" s="35" t="s">
        <v>579</v>
      </c>
      <c r="U70" s="35" t="s">
        <v>580</v>
      </c>
      <c r="V70" s="35" t="s">
        <v>581</v>
      </c>
      <c r="W70" s="35" t="s">
        <v>582</v>
      </c>
      <c r="X70" s="35" t="s">
        <v>561</v>
      </c>
      <c r="Y70" s="35" t="s">
        <v>583</v>
      </c>
      <c r="Z70" s="35" t="s">
        <v>584</v>
      </c>
      <c r="AA70" s="35" t="s">
        <v>585</v>
      </c>
      <c r="AB70" s="35" t="s">
        <v>586</v>
      </c>
      <c r="AC70" s="35" t="s">
        <v>562</v>
      </c>
      <c r="AD70" s="35" t="s">
        <v>587</v>
      </c>
      <c r="AE70" s="35" t="s">
        <v>588</v>
      </c>
      <c r="AF70" s="35" t="s">
        <v>589</v>
      </c>
      <c r="AG70" s="35" t="s">
        <v>590</v>
      </c>
      <c r="AH70" s="35" t="s">
        <v>563</v>
      </c>
      <c r="AI70" s="35" t="s">
        <v>591</v>
      </c>
      <c r="AJ70" s="35" t="s">
        <v>592</v>
      </c>
      <c r="AK70" s="35" t="s">
        <v>593</v>
      </c>
      <c r="AL70" s="35" t="s">
        <v>594</v>
      </c>
      <c r="AM70" s="35" t="s">
        <v>564</v>
      </c>
    </row>
    <row r="71" spans="1:39">
      <c r="A71" s="185">
        <v>0.29299999999999998</v>
      </c>
      <c r="B71" s="185">
        <v>0.29799999999999999</v>
      </c>
      <c r="C71" s="185">
        <v>0.30099999999999999</v>
      </c>
      <c r="D71" s="185">
        <v>0.30299999999999999</v>
      </c>
      <c r="E71" s="185">
        <v>0.30299999999999999</v>
      </c>
      <c r="F71" s="185">
        <v>0.307</v>
      </c>
      <c r="G71" s="185">
        <v>0.308</v>
      </c>
      <c r="H71" s="185">
        <v>0.30599999999999999</v>
      </c>
      <c r="I71" s="185">
        <v>0.27900000000000003</v>
      </c>
      <c r="J71" s="185">
        <v>0.28599999999999998</v>
      </c>
      <c r="K71" s="185">
        <v>0.28899999999999998</v>
      </c>
      <c r="L71" s="185">
        <v>0.29299999999999998</v>
      </c>
      <c r="M71" s="185">
        <v>0.29599999999999999</v>
      </c>
      <c r="N71" s="185">
        <v>0.29899999999999999</v>
      </c>
      <c r="O71" s="185">
        <v>0.30399999999999999</v>
      </c>
      <c r="P71" s="185">
        <v>0.308</v>
      </c>
      <c r="Q71" s="185">
        <v>0.313</v>
      </c>
      <c r="R71" s="185">
        <v>0.31900000000000001</v>
      </c>
      <c r="S71" s="185">
        <v>0.32300000000000001</v>
      </c>
      <c r="T71" s="185">
        <v>0.33</v>
      </c>
      <c r="U71" s="185">
        <v>0.33600000000000002</v>
      </c>
      <c r="V71" s="185">
        <v>0.34300000000000003</v>
      </c>
      <c r="W71" s="185">
        <v>0.35</v>
      </c>
      <c r="X71" s="24">
        <v>0.3576086956521739</v>
      </c>
      <c r="Y71" s="24">
        <v>0.36538279773156901</v>
      </c>
      <c r="Z71" s="24">
        <v>0.37402068893089691</v>
      </c>
      <c r="AA71" s="24">
        <v>0.38179479101029201</v>
      </c>
      <c r="AB71" s="24">
        <v>0.39043268220961985</v>
      </c>
      <c r="AC71" s="24">
        <v>0.39907057340894769</v>
      </c>
      <c r="AD71" s="24">
        <v>0.40857225372820832</v>
      </c>
      <c r="AE71" s="24">
        <v>0.41807393404746901</v>
      </c>
      <c r="AF71" s="24">
        <v>0.42757561436672964</v>
      </c>
      <c r="AG71" s="24">
        <v>0.43707729468599027</v>
      </c>
      <c r="AH71" s="24">
        <v>0.44830655324511653</v>
      </c>
      <c r="AI71" s="24">
        <v>0.45953581180424274</v>
      </c>
      <c r="AJ71" s="24">
        <v>0.47076507036336901</v>
      </c>
      <c r="AK71" s="24">
        <v>0.48199432892249522</v>
      </c>
      <c r="AL71" s="24">
        <v>0.4943531578692259</v>
      </c>
      <c r="AM71" s="24">
        <v>0.50702887986587275</v>
      </c>
    </row>
    <row r="81" spans="1:46">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c r="AH81" s="35"/>
      <c r="AI81" s="35"/>
      <c r="AJ81" s="35"/>
      <c r="AK81" s="35"/>
      <c r="AL81" s="35"/>
      <c r="AM81" s="35"/>
      <c r="AN81" s="35"/>
      <c r="AO81" s="35"/>
      <c r="AP81" s="35"/>
      <c r="AQ81" s="35"/>
      <c r="AR81" s="35"/>
      <c r="AS81" s="35"/>
      <c r="AT81" s="35"/>
    </row>
    <row r="82" spans="1:46">
      <c r="A82" s="35"/>
    </row>
    <row r="83" spans="1:46">
      <c r="A83" s="35"/>
    </row>
    <row r="84" spans="1:46">
      <c r="A84" s="35"/>
    </row>
    <row r="91" spans="1:46">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c r="AH91" s="35"/>
      <c r="AI91" s="35"/>
      <c r="AJ91" s="35"/>
    </row>
    <row r="92" spans="1:46">
      <c r="A92" s="35"/>
    </row>
    <row r="93" spans="1:46">
      <c r="A93" s="35"/>
    </row>
    <row r="94" spans="1:46">
      <c r="A94" s="35"/>
    </row>
    <row r="95" spans="1:46">
      <c r="A95" s="35"/>
    </row>
    <row r="96" spans="1:46">
      <c r="A96" s="35"/>
    </row>
    <row r="97" spans="1:47">
      <c r="A97" s="35"/>
    </row>
    <row r="98" spans="1:47">
      <c r="A98" s="35"/>
    </row>
    <row r="99" spans="1:47">
      <c r="A99" s="35"/>
    </row>
    <row r="100" spans="1:47">
      <c r="A100" s="35"/>
    </row>
    <row r="101" spans="1:47">
      <c r="C101" s="35" t="s">
        <v>556</v>
      </c>
      <c r="D101" s="35" t="s">
        <v>565</v>
      </c>
      <c r="E101" s="35" t="s">
        <v>566</v>
      </c>
      <c r="F101" s="35" t="s">
        <v>557</v>
      </c>
      <c r="G101" s="35" t="s">
        <v>567</v>
      </c>
      <c r="H101" s="35" t="s">
        <v>568</v>
      </c>
      <c r="I101" s="35" t="s">
        <v>569</v>
      </c>
      <c r="J101" s="35" t="s">
        <v>570</v>
      </c>
      <c r="K101" s="35" t="s">
        <v>558</v>
      </c>
      <c r="L101" s="35" t="s">
        <v>571</v>
      </c>
      <c r="M101" s="35" t="s">
        <v>572</v>
      </c>
      <c r="N101" s="35" t="s">
        <v>573</v>
      </c>
      <c r="O101" s="35" t="s">
        <v>574</v>
      </c>
      <c r="P101" s="35" t="s">
        <v>559</v>
      </c>
      <c r="Q101" s="35" t="s">
        <v>575</v>
      </c>
      <c r="R101" s="35" t="s">
        <v>576</v>
      </c>
      <c r="S101" s="35" t="s">
        <v>577</v>
      </c>
      <c r="T101" s="35" t="s">
        <v>578</v>
      </c>
      <c r="U101" s="35" t="s">
        <v>560</v>
      </c>
      <c r="V101" s="35" t="s">
        <v>579</v>
      </c>
      <c r="W101" s="35" t="s">
        <v>580</v>
      </c>
      <c r="X101" s="35" t="s">
        <v>581</v>
      </c>
      <c r="Y101" s="35" t="s">
        <v>582</v>
      </c>
      <c r="Z101" s="35" t="s">
        <v>561</v>
      </c>
      <c r="AA101" s="35" t="s">
        <v>583</v>
      </c>
      <c r="AB101" s="35" t="s">
        <v>584</v>
      </c>
      <c r="AC101" s="35" t="s">
        <v>585</v>
      </c>
      <c r="AD101" s="35" t="s">
        <v>586</v>
      </c>
      <c r="AE101" s="35" t="s">
        <v>562</v>
      </c>
      <c r="AF101" s="35" t="s">
        <v>587</v>
      </c>
      <c r="AG101" s="35" t="s">
        <v>588</v>
      </c>
      <c r="AH101" s="35" t="s">
        <v>589</v>
      </c>
      <c r="AI101" s="35" t="s">
        <v>590</v>
      </c>
      <c r="AJ101" s="35" t="s">
        <v>563</v>
      </c>
      <c r="AK101" s="35" t="s">
        <v>591</v>
      </c>
      <c r="AL101" s="35" t="s">
        <v>592</v>
      </c>
      <c r="AM101" s="35" t="s">
        <v>593</v>
      </c>
      <c r="AN101" s="35" t="s">
        <v>594</v>
      </c>
      <c r="AO101" s="35" t="s">
        <v>564</v>
      </c>
      <c r="AP101" s="35"/>
      <c r="AQ101" s="35"/>
      <c r="AR101" s="35"/>
      <c r="AS101" s="35"/>
      <c r="AT101" s="35"/>
      <c r="AU101" s="35"/>
    </row>
    <row r="102" spans="1:47">
      <c r="A102" s="35" t="s">
        <v>275</v>
      </c>
      <c r="B102" s="35" t="s">
        <v>531</v>
      </c>
      <c r="C102" s="185" t="s">
        <v>395</v>
      </c>
      <c r="D102" s="185" t="s">
        <v>395</v>
      </c>
      <c r="E102" s="185" t="s">
        <v>395</v>
      </c>
      <c r="F102" s="185" t="s">
        <v>395</v>
      </c>
      <c r="G102" s="185" t="s">
        <v>395</v>
      </c>
      <c r="H102" s="185" t="s">
        <v>395</v>
      </c>
      <c r="I102" s="185" t="s">
        <v>395</v>
      </c>
      <c r="J102" s="185" t="s">
        <v>395</v>
      </c>
      <c r="K102" s="185" t="s">
        <v>395</v>
      </c>
      <c r="L102" s="185" t="s">
        <v>395</v>
      </c>
      <c r="M102" s="185" t="s">
        <v>395</v>
      </c>
      <c r="N102" s="185" t="s">
        <v>395</v>
      </c>
      <c r="O102" s="185" t="s">
        <v>395</v>
      </c>
      <c r="P102" s="185" t="s">
        <v>395</v>
      </c>
      <c r="Q102" s="185" t="s">
        <v>395</v>
      </c>
      <c r="R102" s="185" t="s">
        <v>395</v>
      </c>
      <c r="S102" s="185" t="s">
        <v>395</v>
      </c>
      <c r="T102" s="185" t="s">
        <v>395</v>
      </c>
      <c r="U102" s="185" t="s">
        <v>395</v>
      </c>
      <c r="V102" s="185" t="s">
        <v>395</v>
      </c>
      <c r="W102" s="185" t="s">
        <v>395</v>
      </c>
      <c r="X102" s="185" t="s">
        <v>395</v>
      </c>
      <c r="Y102" s="185" t="s">
        <v>395</v>
      </c>
      <c r="Z102" s="185" t="s">
        <v>395</v>
      </c>
      <c r="AA102" s="185" t="s">
        <v>395</v>
      </c>
      <c r="AB102" s="185" t="s">
        <v>395</v>
      </c>
      <c r="AC102" s="185" t="s">
        <v>395</v>
      </c>
      <c r="AD102" s="185" t="s">
        <v>395</v>
      </c>
      <c r="AE102" s="185" t="s">
        <v>395</v>
      </c>
      <c r="AF102" s="185" t="s">
        <v>395</v>
      </c>
      <c r="AG102" s="185" t="s">
        <v>395</v>
      </c>
      <c r="AH102" s="185" t="s">
        <v>395</v>
      </c>
      <c r="AI102" s="185" t="s">
        <v>395</v>
      </c>
      <c r="AJ102" s="185" t="s">
        <v>395</v>
      </c>
      <c r="AK102" s="185" t="s">
        <v>395</v>
      </c>
      <c r="AL102" s="185" t="s">
        <v>395</v>
      </c>
      <c r="AM102" s="185" t="s">
        <v>395</v>
      </c>
      <c r="AN102" s="185" t="s">
        <v>395</v>
      </c>
      <c r="AO102" s="185" t="s">
        <v>395</v>
      </c>
    </row>
    <row r="103" spans="1:47">
      <c r="A103" s="35" t="s">
        <v>275</v>
      </c>
      <c r="B103" s="35" t="s">
        <v>532</v>
      </c>
      <c r="C103" s="185" t="s">
        <v>395</v>
      </c>
      <c r="D103" s="185" t="s">
        <v>395</v>
      </c>
      <c r="E103" s="185" t="s">
        <v>395</v>
      </c>
      <c r="F103" s="185" t="s">
        <v>395</v>
      </c>
      <c r="G103" s="185" t="s">
        <v>395</v>
      </c>
      <c r="H103" s="185" t="s">
        <v>395</v>
      </c>
      <c r="I103" s="185" t="s">
        <v>395</v>
      </c>
      <c r="J103" s="185" t="s">
        <v>395</v>
      </c>
      <c r="K103" s="185" t="s">
        <v>395</v>
      </c>
      <c r="L103" s="185" t="s">
        <v>395</v>
      </c>
      <c r="M103" s="185" t="s">
        <v>395</v>
      </c>
      <c r="N103" s="185" t="s">
        <v>395</v>
      </c>
      <c r="O103" s="185" t="s">
        <v>395</v>
      </c>
      <c r="P103" s="185" t="s">
        <v>395</v>
      </c>
      <c r="Q103" s="185" t="s">
        <v>395</v>
      </c>
      <c r="R103" s="185" t="s">
        <v>395</v>
      </c>
      <c r="S103" s="185" t="s">
        <v>395</v>
      </c>
      <c r="T103" s="185" t="s">
        <v>395</v>
      </c>
      <c r="U103" s="185" t="s">
        <v>395</v>
      </c>
      <c r="V103" s="185" t="s">
        <v>395</v>
      </c>
      <c r="W103" s="185" t="s">
        <v>395</v>
      </c>
      <c r="X103" s="185" t="s">
        <v>395</v>
      </c>
      <c r="Y103" s="185" t="s">
        <v>395</v>
      </c>
      <c r="Z103" s="185" t="s">
        <v>395</v>
      </c>
      <c r="AA103" s="185" t="s">
        <v>395</v>
      </c>
      <c r="AB103" s="185" t="s">
        <v>395</v>
      </c>
      <c r="AC103" s="185" t="s">
        <v>395</v>
      </c>
      <c r="AD103" s="185" t="s">
        <v>395</v>
      </c>
      <c r="AE103" s="185" t="s">
        <v>395</v>
      </c>
      <c r="AF103" s="185" t="s">
        <v>395</v>
      </c>
      <c r="AG103" s="185" t="s">
        <v>395</v>
      </c>
      <c r="AH103" s="185" t="s">
        <v>395</v>
      </c>
      <c r="AI103" s="185" t="s">
        <v>395</v>
      </c>
      <c r="AJ103" s="185" t="s">
        <v>395</v>
      </c>
      <c r="AK103" s="185" t="s">
        <v>395</v>
      </c>
      <c r="AL103" s="185" t="s">
        <v>395</v>
      </c>
      <c r="AM103" s="185" t="s">
        <v>395</v>
      </c>
      <c r="AN103" s="185" t="s">
        <v>395</v>
      </c>
      <c r="AO103" s="185" t="s">
        <v>395</v>
      </c>
    </row>
    <row r="104" spans="1:47">
      <c r="A104" s="35" t="s">
        <v>275</v>
      </c>
      <c r="B104" s="35" t="s">
        <v>533</v>
      </c>
      <c r="C104" s="185" t="s">
        <v>395</v>
      </c>
      <c r="D104" s="185" t="s">
        <v>395</v>
      </c>
      <c r="E104" s="185" t="s">
        <v>395</v>
      </c>
      <c r="F104" s="185" t="s">
        <v>395</v>
      </c>
      <c r="G104" s="185" t="s">
        <v>395</v>
      </c>
      <c r="H104" s="185" t="s">
        <v>395</v>
      </c>
      <c r="I104" s="185" t="s">
        <v>395</v>
      </c>
      <c r="J104" s="185" t="s">
        <v>395</v>
      </c>
      <c r="K104" s="185" t="s">
        <v>395</v>
      </c>
      <c r="L104" s="185" t="s">
        <v>395</v>
      </c>
      <c r="M104" s="185" t="s">
        <v>395</v>
      </c>
      <c r="N104" s="185" t="s">
        <v>395</v>
      </c>
      <c r="O104" s="185" t="s">
        <v>395</v>
      </c>
      <c r="P104" s="185" t="s">
        <v>395</v>
      </c>
      <c r="Q104" s="185" t="s">
        <v>395</v>
      </c>
      <c r="R104" s="185" t="s">
        <v>395</v>
      </c>
      <c r="S104" s="185" t="s">
        <v>395</v>
      </c>
      <c r="T104" s="185" t="s">
        <v>395</v>
      </c>
      <c r="U104" s="185" t="s">
        <v>395</v>
      </c>
      <c r="V104" s="185" t="s">
        <v>395</v>
      </c>
      <c r="W104" s="185" t="s">
        <v>395</v>
      </c>
      <c r="X104" s="185" t="s">
        <v>395</v>
      </c>
      <c r="Y104" s="185" t="s">
        <v>395</v>
      </c>
      <c r="Z104" s="185" t="s">
        <v>395</v>
      </c>
      <c r="AA104" s="185" t="s">
        <v>395</v>
      </c>
      <c r="AB104" s="185" t="s">
        <v>395</v>
      </c>
      <c r="AC104" s="185" t="s">
        <v>395</v>
      </c>
      <c r="AD104" s="185" t="s">
        <v>395</v>
      </c>
      <c r="AE104" s="185" t="s">
        <v>395</v>
      </c>
      <c r="AF104" s="185" t="s">
        <v>395</v>
      </c>
      <c r="AG104" s="185" t="s">
        <v>395</v>
      </c>
      <c r="AH104" s="185" t="s">
        <v>395</v>
      </c>
      <c r="AI104" s="185" t="s">
        <v>395</v>
      </c>
      <c r="AJ104" s="185" t="s">
        <v>395</v>
      </c>
      <c r="AK104" s="185" t="s">
        <v>395</v>
      </c>
      <c r="AL104" s="185" t="s">
        <v>395</v>
      </c>
      <c r="AM104" s="185" t="s">
        <v>395</v>
      </c>
      <c r="AN104" s="185" t="s">
        <v>395</v>
      </c>
      <c r="AO104" s="185" t="s">
        <v>395</v>
      </c>
    </row>
    <row r="105" spans="1:47">
      <c r="A105" s="35" t="s">
        <v>275</v>
      </c>
      <c r="B105" s="35" t="s">
        <v>534</v>
      </c>
      <c r="C105" s="185" t="s">
        <v>395</v>
      </c>
      <c r="D105" s="185" t="s">
        <v>395</v>
      </c>
      <c r="E105" s="185" t="s">
        <v>395</v>
      </c>
      <c r="F105" s="185" t="s">
        <v>395</v>
      </c>
      <c r="G105" s="185" t="s">
        <v>395</v>
      </c>
      <c r="H105" s="185" t="s">
        <v>395</v>
      </c>
      <c r="I105" s="185" t="s">
        <v>395</v>
      </c>
      <c r="J105" s="185" t="s">
        <v>395</v>
      </c>
      <c r="K105" s="185" t="s">
        <v>395</v>
      </c>
      <c r="L105" s="185" t="s">
        <v>395</v>
      </c>
      <c r="M105" s="185" t="s">
        <v>395</v>
      </c>
      <c r="N105" s="185" t="s">
        <v>395</v>
      </c>
      <c r="O105" s="185" t="s">
        <v>395</v>
      </c>
      <c r="P105" s="185" t="s">
        <v>395</v>
      </c>
      <c r="Q105" s="185" t="s">
        <v>395</v>
      </c>
      <c r="R105" s="185" t="s">
        <v>395</v>
      </c>
      <c r="S105" s="185" t="s">
        <v>395</v>
      </c>
      <c r="T105" s="185" t="s">
        <v>395</v>
      </c>
      <c r="U105" s="185" t="s">
        <v>395</v>
      </c>
      <c r="V105" s="185" t="s">
        <v>395</v>
      </c>
      <c r="W105" s="185" t="s">
        <v>395</v>
      </c>
      <c r="X105" s="185" t="s">
        <v>395</v>
      </c>
      <c r="Y105" s="185" t="s">
        <v>395</v>
      </c>
      <c r="Z105" s="185" t="s">
        <v>395</v>
      </c>
    </row>
    <row r="106" spans="1:47">
      <c r="A106" s="35" t="s">
        <v>275</v>
      </c>
      <c r="B106" s="35" t="s">
        <v>535</v>
      </c>
      <c r="C106" s="185" t="s">
        <v>395</v>
      </c>
      <c r="D106" s="185" t="s">
        <v>395</v>
      </c>
      <c r="E106" s="185" t="s">
        <v>395</v>
      </c>
      <c r="F106" s="185" t="s">
        <v>395</v>
      </c>
      <c r="G106" s="185" t="s">
        <v>395</v>
      </c>
      <c r="H106" s="185" t="s">
        <v>395</v>
      </c>
      <c r="I106" s="185" t="s">
        <v>395</v>
      </c>
      <c r="J106" s="185" t="s">
        <v>395</v>
      </c>
      <c r="K106" s="185" t="s">
        <v>395</v>
      </c>
    </row>
    <row r="107" spans="1:47">
      <c r="A107" s="35" t="s">
        <v>276</v>
      </c>
      <c r="B107" s="35" t="s">
        <v>534</v>
      </c>
      <c r="AA107" s="185" t="s">
        <v>395</v>
      </c>
      <c r="AB107" s="185" t="s">
        <v>395</v>
      </c>
      <c r="AC107" s="185" t="s">
        <v>395</v>
      </c>
      <c r="AD107" s="185" t="s">
        <v>395</v>
      </c>
      <c r="AE107" s="185" t="s">
        <v>395</v>
      </c>
      <c r="AF107" s="185" t="s">
        <v>395</v>
      </c>
      <c r="AG107" s="185" t="s">
        <v>395</v>
      </c>
      <c r="AH107" s="185" t="s">
        <v>395</v>
      </c>
      <c r="AI107" s="185" t="s">
        <v>395</v>
      </c>
      <c r="AJ107" s="185" t="s">
        <v>395</v>
      </c>
      <c r="AK107" s="185" t="s">
        <v>395</v>
      </c>
      <c r="AL107" s="185" t="s">
        <v>395</v>
      </c>
      <c r="AM107" s="185" t="s">
        <v>395</v>
      </c>
      <c r="AN107" s="185" t="s">
        <v>395</v>
      </c>
      <c r="AO107" s="185" t="s">
        <v>395</v>
      </c>
    </row>
    <row r="108" spans="1:47">
      <c r="A108" s="35" t="s">
        <v>276</v>
      </c>
      <c r="B108" s="35" t="s">
        <v>535</v>
      </c>
      <c r="L108" s="185" t="s">
        <v>395</v>
      </c>
      <c r="M108" s="185" t="s">
        <v>395</v>
      </c>
      <c r="N108" s="185" t="s">
        <v>395</v>
      </c>
      <c r="O108" s="185" t="s">
        <v>395</v>
      </c>
      <c r="P108" s="185" t="s">
        <v>395</v>
      </c>
      <c r="Q108" s="185" t="s">
        <v>395</v>
      </c>
      <c r="R108" s="185" t="s">
        <v>395</v>
      </c>
      <c r="S108" s="185" t="s">
        <v>395</v>
      </c>
      <c r="T108" s="185" t="s">
        <v>395</v>
      </c>
      <c r="U108" s="185" t="s">
        <v>395</v>
      </c>
      <c r="V108" s="185" t="s">
        <v>395</v>
      </c>
      <c r="W108" s="185" t="s">
        <v>395</v>
      </c>
      <c r="X108" s="185" t="s">
        <v>395</v>
      </c>
      <c r="Y108" s="185" t="s">
        <v>395</v>
      </c>
      <c r="Z108" s="185" t="s">
        <v>395</v>
      </c>
      <c r="AA108" s="185" t="s">
        <v>395</v>
      </c>
      <c r="AB108" s="185" t="s">
        <v>395</v>
      </c>
      <c r="AC108" s="185" t="s">
        <v>395</v>
      </c>
      <c r="AD108" s="185" t="s">
        <v>395</v>
      </c>
      <c r="AE108" s="185" t="s">
        <v>395</v>
      </c>
      <c r="AF108" s="185" t="s">
        <v>395</v>
      </c>
      <c r="AG108" s="185" t="s">
        <v>395</v>
      </c>
      <c r="AH108" s="185" t="s">
        <v>395</v>
      </c>
      <c r="AI108" s="185" t="s">
        <v>395</v>
      </c>
      <c r="AJ108" s="185" t="s">
        <v>395</v>
      </c>
      <c r="AK108" s="185" t="s">
        <v>395</v>
      </c>
      <c r="AL108" s="185" t="s">
        <v>395</v>
      </c>
      <c r="AM108" s="185" t="s">
        <v>395</v>
      </c>
      <c r="AN108" s="185" t="s">
        <v>395</v>
      </c>
      <c r="AO108" s="185" t="s">
        <v>395</v>
      </c>
    </row>
    <row r="109" spans="1:47">
      <c r="A109" s="35" t="s">
        <v>276</v>
      </c>
      <c r="B109" s="35" t="s">
        <v>536</v>
      </c>
      <c r="C109" s="185" t="s">
        <v>395</v>
      </c>
      <c r="D109" s="185" t="s">
        <v>395</v>
      </c>
      <c r="E109" s="185" t="s">
        <v>395</v>
      </c>
      <c r="F109" s="185" t="s">
        <v>395</v>
      </c>
      <c r="G109" s="185" t="s">
        <v>395</v>
      </c>
      <c r="H109" s="185" t="s">
        <v>395</v>
      </c>
      <c r="I109" s="185" t="s">
        <v>395</v>
      </c>
      <c r="J109" s="185" t="s">
        <v>395</v>
      </c>
      <c r="K109" s="185" t="s">
        <v>395</v>
      </c>
      <c r="L109" s="185" t="s">
        <v>395</v>
      </c>
      <c r="M109" s="185" t="s">
        <v>395</v>
      </c>
      <c r="N109" s="185" t="s">
        <v>395</v>
      </c>
      <c r="O109" s="185" t="s">
        <v>395</v>
      </c>
      <c r="P109" s="185" t="s">
        <v>395</v>
      </c>
      <c r="Q109" s="185" t="s">
        <v>395</v>
      </c>
      <c r="R109" s="185" t="s">
        <v>395</v>
      </c>
      <c r="S109" s="185" t="s">
        <v>395</v>
      </c>
      <c r="T109" s="185" t="s">
        <v>395</v>
      </c>
      <c r="U109" s="185" t="s">
        <v>395</v>
      </c>
      <c r="V109" s="185" t="s">
        <v>395</v>
      </c>
      <c r="W109" s="185" t="s">
        <v>395</v>
      </c>
      <c r="X109" s="185" t="s">
        <v>395</v>
      </c>
      <c r="Y109" s="185" t="s">
        <v>395</v>
      </c>
      <c r="Z109" s="185" t="s">
        <v>395</v>
      </c>
      <c r="AA109" s="185" t="s">
        <v>395</v>
      </c>
      <c r="AB109" s="185" t="s">
        <v>395</v>
      </c>
      <c r="AC109" s="185" t="s">
        <v>395</v>
      </c>
      <c r="AD109" s="185" t="s">
        <v>395</v>
      </c>
      <c r="AE109" s="185" t="s">
        <v>395</v>
      </c>
      <c r="AF109" s="185" t="s">
        <v>395</v>
      </c>
      <c r="AG109" s="185" t="s">
        <v>395</v>
      </c>
      <c r="AH109" s="185" t="s">
        <v>395</v>
      </c>
      <c r="AI109" s="185" t="s">
        <v>395</v>
      </c>
      <c r="AJ109" s="185" t="s">
        <v>395</v>
      </c>
      <c r="AK109" s="185" t="s">
        <v>395</v>
      </c>
      <c r="AL109" s="185" t="s">
        <v>395</v>
      </c>
      <c r="AM109" s="185" t="s">
        <v>395</v>
      </c>
      <c r="AN109" s="185" t="s">
        <v>395</v>
      </c>
      <c r="AO109" s="185" t="s">
        <v>395</v>
      </c>
    </row>
    <row r="110" spans="1:47">
      <c r="A110" s="35" t="s">
        <v>276</v>
      </c>
      <c r="B110" s="35" t="s">
        <v>537</v>
      </c>
      <c r="C110" s="185" t="s">
        <v>395</v>
      </c>
      <c r="D110" s="185" t="s">
        <v>395</v>
      </c>
      <c r="E110" s="185" t="s">
        <v>395</v>
      </c>
      <c r="F110" s="185" t="s">
        <v>395</v>
      </c>
      <c r="G110" s="185" t="s">
        <v>395</v>
      </c>
      <c r="H110" s="185" t="s">
        <v>395</v>
      </c>
      <c r="I110" s="185" t="s">
        <v>395</v>
      </c>
      <c r="J110" s="185" t="s">
        <v>395</v>
      </c>
      <c r="K110" s="185" t="s">
        <v>395</v>
      </c>
      <c r="L110" s="185" t="s">
        <v>395</v>
      </c>
      <c r="M110" s="185" t="s">
        <v>395</v>
      </c>
      <c r="N110" s="185" t="s">
        <v>395</v>
      </c>
      <c r="O110" s="185" t="s">
        <v>395</v>
      </c>
      <c r="P110" s="185" t="s">
        <v>395</v>
      </c>
      <c r="Q110" s="185" t="s">
        <v>395</v>
      </c>
      <c r="R110" s="185" t="s">
        <v>395</v>
      </c>
      <c r="S110" s="185" t="s">
        <v>395</v>
      </c>
      <c r="T110" s="185" t="s">
        <v>395</v>
      </c>
      <c r="U110" s="185" t="s">
        <v>395</v>
      </c>
      <c r="V110" s="185" t="s">
        <v>395</v>
      </c>
      <c r="W110" s="185" t="s">
        <v>395</v>
      </c>
      <c r="X110" s="185" t="s">
        <v>395</v>
      </c>
      <c r="Y110" s="185" t="s">
        <v>395</v>
      </c>
      <c r="Z110" s="185" t="s">
        <v>395</v>
      </c>
      <c r="AA110" s="185" t="s">
        <v>395</v>
      </c>
      <c r="AB110" s="185" t="s">
        <v>395</v>
      </c>
      <c r="AC110" s="185" t="s">
        <v>395</v>
      </c>
      <c r="AD110" s="185" t="s">
        <v>395</v>
      </c>
      <c r="AE110" s="185" t="s">
        <v>395</v>
      </c>
      <c r="AF110" s="185" t="s">
        <v>395</v>
      </c>
      <c r="AG110" s="185" t="s">
        <v>395</v>
      </c>
      <c r="AH110" s="185" t="s">
        <v>395</v>
      </c>
      <c r="AI110" s="185" t="s">
        <v>395</v>
      </c>
      <c r="AJ110" s="185" t="s">
        <v>395</v>
      </c>
      <c r="AK110" s="185" t="s">
        <v>395</v>
      </c>
      <c r="AL110" s="185" t="s">
        <v>395</v>
      </c>
      <c r="AM110" s="185" t="s">
        <v>395</v>
      </c>
      <c r="AN110" s="185" t="s">
        <v>395</v>
      </c>
      <c r="AO110" s="185" t="s">
        <v>395</v>
      </c>
    </row>
    <row r="111" spans="1:47">
      <c r="A111" s="35" t="s">
        <v>276</v>
      </c>
      <c r="B111" s="35" t="s">
        <v>538</v>
      </c>
      <c r="C111" s="185" t="s">
        <v>395</v>
      </c>
      <c r="D111" s="185" t="s">
        <v>395</v>
      </c>
      <c r="E111" s="185" t="s">
        <v>395</v>
      </c>
      <c r="F111" s="185" t="s">
        <v>395</v>
      </c>
      <c r="G111" s="185" t="s">
        <v>395</v>
      </c>
      <c r="H111" s="185" t="s">
        <v>395</v>
      </c>
      <c r="I111" s="185" t="s">
        <v>395</v>
      </c>
      <c r="J111" s="185" t="s">
        <v>395</v>
      </c>
      <c r="K111" s="185" t="s">
        <v>395</v>
      </c>
      <c r="L111" s="185" t="s">
        <v>395</v>
      </c>
      <c r="M111" s="185" t="s">
        <v>395</v>
      </c>
      <c r="N111" s="185" t="s">
        <v>395</v>
      </c>
      <c r="O111" s="185" t="s">
        <v>395</v>
      </c>
      <c r="P111" s="185" t="s">
        <v>395</v>
      </c>
      <c r="Q111" s="185" t="s">
        <v>395</v>
      </c>
      <c r="R111" s="185" t="s">
        <v>395</v>
      </c>
      <c r="S111" s="185" t="s">
        <v>395</v>
      </c>
      <c r="T111" s="185" t="s">
        <v>395</v>
      </c>
      <c r="U111" s="185" t="s">
        <v>395</v>
      </c>
      <c r="V111" s="185" t="s">
        <v>395</v>
      </c>
    </row>
    <row r="112" spans="1:47">
      <c r="A112" s="35" t="s">
        <v>277</v>
      </c>
      <c r="B112" s="35" t="s">
        <v>538</v>
      </c>
      <c r="W112" s="185" t="s">
        <v>395</v>
      </c>
      <c r="X112" s="185" t="s">
        <v>395</v>
      </c>
      <c r="Y112" s="185" t="s">
        <v>395</v>
      </c>
      <c r="Z112" s="185" t="s">
        <v>395</v>
      </c>
      <c r="AA112" s="185" t="s">
        <v>395</v>
      </c>
      <c r="AB112" s="185" t="s">
        <v>395</v>
      </c>
      <c r="AC112" s="185" t="s">
        <v>395</v>
      </c>
      <c r="AD112" s="185" t="s">
        <v>395</v>
      </c>
      <c r="AE112" s="185" t="s">
        <v>395</v>
      </c>
      <c r="AF112" s="185" t="s">
        <v>395</v>
      </c>
      <c r="AG112" s="185" t="s">
        <v>395</v>
      </c>
      <c r="AH112" s="185" t="s">
        <v>395</v>
      </c>
      <c r="AI112" s="185" t="s">
        <v>395</v>
      </c>
      <c r="AJ112" s="185" t="s">
        <v>395</v>
      </c>
      <c r="AK112" s="185" t="s">
        <v>395</v>
      </c>
      <c r="AL112" s="185" t="s">
        <v>395</v>
      </c>
      <c r="AM112" s="185" t="s">
        <v>395</v>
      </c>
      <c r="AN112" s="185" t="s">
        <v>395</v>
      </c>
      <c r="AO112" s="185" t="s">
        <v>395</v>
      </c>
    </row>
    <row r="113" spans="1:41">
      <c r="A113" s="35" t="s">
        <v>277</v>
      </c>
      <c r="B113" s="35" t="s">
        <v>539</v>
      </c>
      <c r="C113" s="185" t="s">
        <v>395</v>
      </c>
      <c r="D113" s="185" t="s">
        <v>395</v>
      </c>
      <c r="E113" s="185" t="s">
        <v>395</v>
      </c>
      <c r="F113" s="185" t="s">
        <v>395</v>
      </c>
      <c r="G113" s="185" t="s">
        <v>395</v>
      </c>
      <c r="H113" s="185" t="s">
        <v>395</v>
      </c>
      <c r="I113" s="185" t="s">
        <v>395</v>
      </c>
      <c r="J113" s="185" t="s">
        <v>395</v>
      </c>
      <c r="K113" s="185" t="s">
        <v>395</v>
      </c>
      <c r="L113" s="185" t="s">
        <v>395</v>
      </c>
      <c r="M113" s="185" t="s">
        <v>395</v>
      </c>
      <c r="N113" s="185" t="s">
        <v>395</v>
      </c>
      <c r="O113" s="185" t="s">
        <v>395</v>
      </c>
      <c r="P113" s="185" t="s">
        <v>395</v>
      </c>
      <c r="Q113" s="185" t="s">
        <v>395</v>
      </c>
      <c r="R113" s="185" t="s">
        <v>395</v>
      </c>
      <c r="S113" s="185" t="s">
        <v>395</v>
      </c>
      <c r="T113" s="185" t="s">
        <v>395</v>
      </c>
      <c r="U113" s="185" t="s">
        <v>395</v>
      </c>
      <c r="V113" s="185" t="s">
        <v>395</v>
      </c>
      <c r="W113" s="185" t="s">
        <v>395</v>
      </c>
      <c r="X113" s="185" t="s">
        <v>395</v>
      </c>
      <c r="Y113" s="185" t="s">
        <v>395</v>
      </c>
      <c r="Z113" s="185" t="s">
        <v>395</v>
      </c>
      <c r="AA113" s="185" t="s">
        <v>395</v>
      </c>
      <c r="AB113" s="185" t="s">
        <v>395</v>
      </c>
      <c r="AC113" s="185" t="s">
        <v>395</v>
      </c>
      <c r="AD113" s="185" t="s">
        <v>395</v>
      </c>
      <c r="AE113" s="185" t="s">
        <v>395</v>
      </c>
      <c r="AF113" s="185" t="s">
        <v>395</v>
      </c>
      <c r="AG113" s="185" t="s">
        <v>395</v>
      </c>
      <c r="AH113" s="185" t="s">
        <v>395</v>
      </c>
      <c r="AI113" s="185" t="s">
        <v>395</v>
      </c>
      <c r="AJ113" s="185" t="s">
        <v>395</v>
      </c>
      <c r="AK113" s="185" t="s">
        <v>395</v>
      </c>
      <c r="AL113" s="185" t="s">
        <v>395</v>
      </c>
      <c r="AM113" s="185" t="s">
        <v>395</v>
      </c>
      <c r="AN113" s="185" t="s">
        <v>395</v>
      </c>
      <c r="AO113" s="185" t="s">
        <v>395</v>
      </c>
    </row>
    <row r="114" spans="1:41">
      <c r="A114" s="35" t="s">
        <v>277</v>
      </c>
      <c r="B114" s="35" t="s">
        <v>604</v>
      </c>
      <c r="C114" s="185" t="s">
        <v>395</v>
      </c>
      <c r="D114" s="185" t="s">
        <v>395</v>
      </c>
      <c r="E114" s="185" t="s">
        <v>395</v>
      </c>
      <c r="F114" s="185" t="s">
        <v>395</v>
      </c>
      <c r="G114" s="185" t="s">
        <v>395</v>
      </c>
      <c r="H114" s="185" t="s">
        <v>395</v>
      </c>
      <c r="I114" s="185" t="s">
        <v>395</v>
      </c>
      <c r="J114" s="185" t="s">
        <v>395</v>
      </c>
      <c r="K114" s="185" t="s">
        <v>395</v>
      </c>
      <c r="L114" s="185" t="s">
        <v>395</v>
      </c>
      <c r="M114" s="185" t="s">
        <v>395</v>
      </c>
      <c r="N114" s="185" t="s">
        <v>395</v>
      </c>
      <c r="O114" s="185" t="s">
        <v>395</v>
      </c>
      <c r="P114" s="185" t="s">
        <v>395</v>
      </c>
      <c r="Q114" s="185" t="s">
        <v>395</v>
      </c>
      <c r="R114" s="185" t="s">
        <v>395</v>
      </c>
      <c r="S114" s="185" t="s">
        <v>395</v>
      </c>
      <c r="T114" s="185" t="s">
        <v>395</v>
      </c>
      <c r="U114" s="185" t="s">
        <v>395</v>
      </c>
      <c r="V114" s="185" t="s">
        <v>395</v>
      </c>
      <c r="W114" s="185" t="s">
        <v>395</v>
      </c>
      <c r="X114" s="185" t="s">
        <v>395</v>
      </c>
      <c r="Y114" s="185" t="s">
        <v>395</v>
      </c>
      <c r="Z114" s="185" t="s">
        <v>395</v>
      </c>
      <c r="AA114" s="185" t="s">
        <v>395</v>
      </c>
      <c r="AB114" s="185" t="s">
        <v>395</v>
      </c>
      <c r="AC114" s="185" t="s">
        <v>395</v>
      </c>
      <c r="AD114" s="185" t="s">
        <v>395</v>
      </c>
      <c r="AE114" s="185" t="s">
        <v>395</v>
      </c>
      <c r="AF114" s="185" t="s">
        <v>395</v>
      </c>
      <c r="AG114" s="185" t="s">
        <v>395</v>
      </c>
      <c r="AH114" s="185" t="s">
        <v>395</v>
      </c>
      <c r="AI114" s="185" t="s">
        <v>395</v>
      </c>
      <c r="AJ114" s="185" t="s">
        <v>395</v>
      </c>
      <c r="AK114" s="185" t="s">
        <v>395</v>
      </c>
      <c r="AL114" s="185" t="s">
        <v>395</v>
      </c>
      <c r="AM114" s="185" t="s">
        <v>395</v>
      </c>
      <c r="AN114" s="185" t="s">
        <v>395</v>
      </c>
      <c r="AO114" s="185" t="s">
        <v>395</v>
      </c>
    </row>
    <row r="115" spans="1:41">
      <c r="A115" s="35"/>
      <c r="B115" s="35"/>
    </row>
    <row r="116" spans="1:41">
      <c r="A116" s="35"/>
      <c r="B116" s="35"/>
    </row>
    <row r="117" spans="1:41">
      <c r="A117" s="35"/>
      <c r="B117" s="35"/>
    </row>
    <row r="118" spans="1:41">
      <c r="A118" s="35"/>
      <c r="B118" s="35"/>
    </row>
    <row r="119" spans="1:41">
      <c r="A119" s="35"/>
      <c r="B119" s="35"/>
    </row>
    <row r="120" spans="1:41">
      <c r="A120" s="35"/>
      <c r="B120" s="35"/>
    </row>
    <row r="121" spans="1:41">
      <c r="A121" s="35"/>
      <c r="B121" s="35"/>
    </row>
    <row r="122" spans="1:41">
      <c r="A122" s="35"/>
      <c r="B122" s="35"/>
    </row>
    <row r="123" spans="1:41">
      <c r="A123" s="35"/>
      <c r="B123" s="35"/>
    </row>
    <row r="124" spans="1:41">
      <c r="A124" s="35"/>
      <c r="B124" s="35"/>
    </row>
    <row r="125" spans="1:41">
      <c r="A125" s="35"/>
      <c r="B125" s="35"/>
    </row>
    <row r="126" spans="1:41">
      <c r="A126" s="35"/>
      <c r="B126" s="35"/>
    </row>
    <row r="127" spans="1:41">
      <c r="A127" s="35"/>
      <c r="B127" s="35"/>
    </row>
    <row r="128" spans="1:41">
      <c r="A128" s="35"/>
      <c r="B128" s="35"/>
    </row>
    <row r="129" spans="1:15">
      <c r="A129" s="35"/>
      <c r="B129" s="35"/>
    </row>
    <row r="130" spans="1:15">
      <c r="A130" s="35"/>
      <c r="B130" s="35"/>
    </row>
    <row r="131" spans="1:15">
      <c r="A131" s="35"/>
      <c r="B131" s="35"/>
      <c r="C131" s="197"/>
      <c r="D131" s="198"/>
      <c r="E131" s="198"/>
      <c r="F131" s="198"/>
      <c r="G131" s="198"/>
      <c r="H131" s="198"/>
      <c r="I131" s="198"/>
      <c r="J131" s="198"/>
      <c r="K131" s="198"/>
      <c r="L131" s="35"/>
      <c r="M131" s="198"/>
      <c r="N131" s="179"/>
      <c r="O131" s="179"/>
    </row>
    <row r="132" spans="1:15">
      <c r="A132" s="35"/>
      <c r="B132" s="35"/>
    </row>
    <row r="133" spans="1:15">
      <c r="A133" s="35"/>
      <c r="B133" s="35"/>
    </row>
    <row r="134" spans="1:15">
      <c r="A134" s="35"/>
      <c r="B134" s="35"/>
    </row>
    <row r="161" spans="1:13">
      <c r="A161" s="35"/>
      <c r="B161" s="35"/>
      <c r="C161" s="35"/>
      <c r="D161" s="35"/>
      <c r="E161" s="35"/>
      <c r="F161" s="35"/>
      <c r="G161" s="35"/>
      <c r="H161" s="35"/>
      <c r="I161" s="35"/>
      <c r="J161" s="35"/>
      <c r="K161" s="35"/>
      <c r="L161" s="35"/>
      <c r="M161" s="35"/>
    </row>
    <row r="162" spans="1:13">
      <c r="A162" s="35" t="s">
        <v>648</v>
      </c>
      <c r="B162" s="35" t="s">
        <v>4</v>
      </c>
      <c r="C162" s="35" t="s">
        <v>649</v>
      </c>
      <c r="D162" s="35" t="s">
        <v>650</v>
      </c>
      <c r="E162" s="35" t="s">
        <v>651</v>
      </c>
      <c r="F162" s="277"/>
      <c r="G162" s="277"/>
      <c r="H162" s="277"/>
      <c r="I162" s="277"/>
      <c r="J162" s="277"/>
      <c r="K162" s="277"/>
      <c r="L162" s="277"/>
      <c r="M162" s="277"/>
    </row>
    <row r="163" spans="1:13">
      <c r="A163" s="185">
        <v>-1</v>
      </c>
      <c r="B163" s="185">
        <v>-1</v>
      </c>
      <c r="C163" s="185">
        <v>-1</v>
      </c>
      <c r="D163" s="185">
        <v>-1</v>
      </c>
      <c r="E163" s="185">
        <v>-1</v>
      </c>
    </row>
  </sheetData>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2:AO62"/>
  <sheetViews>
    <sheetView workbookViewId="0"/>
  </sheetViews>
  <sheetFormatPr defaultColWidth="8.85546875" defaultRowHeight="15"/>
  <cols>
    <col min="1" max="1" width="13.42578125" customWidth="1"/>
    <col min="3" max="3" width="13.5703125" bestFit="1" customWidth="1"/>
    <col min="4" max="33" width="10.5703125" bestFit="1" customWidth="1"/>
  </cols>
  <sheetData>
    <row r="2" spans="1:41" s="4" customFormat="1"/>
    <row r="3" spans="1:41" s="4" customFormat="1">
      <c r="C3" s="35" t="s">
        <v>556</v>
      </c>
      <c r="D3" s="35" t="s">
        <v>565</v>
      </c>
      <c r="E3" s="35" t="s">
        <v>566</v>
      </c>
      <c r="F3" s="35" t="s">
        <v>557</v>
      </c>
      <c r="G3" s="35" t="s">
        <v>567</v>
      </c>
      <c r="H3" s="35" t="s">
        <v>568</v>
      </c>
      <c r="I3" s="35" t="s">
        <v>569</v>
      </c>
      <c r="J3" s="35" t="s">
        <v>570</v>
      </c>
      <c r="K3" s="35" t="s">
        <v>558</v>
      </c>
      <c r="L3" s="35" t="s">
        <v>571</v>
      </c>
      <c r="M3" s="35" t="s">
        <v>572</v>
      </c>
      <c r="N3" s="35" t="s">
        <v>573</v>
      </c>
      <c r="O3" s="35" t="s">
        <v>574</v>
      </c>
      <c r="P3" s="35" t="s">
        <v>559</v>
      </c>
      <c r="Q3" s="35" t="s">
        <v>575</v>
      </c>
      <c r="R3" s="35" t="s">
        <v>576</v>
      </c>
      <c r="S3" s="35" t="s">
        <v>577</v>
      </c>
      <c r="T3" s="35" t="s">
        <v>578</v>
      </c>
      <c r="U3" s="35" t="s">
        <v>560</v>
      </c>
      <c r="V3" s="35" t="s">
        <v>579</v>
      </c>
      <c r="W3" s="35" t="s">
        <v>580</v>
      </c>
      <c r="X3" s="35" t="s">
        <v>581</v>
      </c>
      <c r="Y3" s="35" t="s">
        <v>582</v>
      </c>
      <c r="Z3" s="35" t="s">
        <v>561</v>
      </c>
      <c r="AA3" s="35" t="s">
        <v>583</v>
      </c>
      <c r="AB3" s="35" t="s">
        <v>584</v>
      </c>
      <c r="AC3" s="35" t="s">
        <v>585</v>
      </c>
      <c r="AD3" s="35" t="s">
        <v>586</v>
      </c>
      <c r="AE3" s="35" t="s">
        <v>562</v>
      </c>
      <c r="AF3" s="35" t="s">
        <v>563</v>
      </c>
      <c r="AG3" s="35" t="s">
        <v>564</v>
      </c>
      <c r="AH3" s="35"/>
      <c r="AI3" s="35"/>
      <c r="AJ3" s="35"/>
      <c r="AK3" s="35"/>
      <c r="AL3" s="35"/>
      <c r="AM3" s="35"/>
      <c r="AN3" s="35"/>
      <c r="AO3" s="35"/>
    </row>
    <row r="4" spans="1:41" s="4" customFormat="1"/>
    <row r="5" spans="1:41" s="4" customFormat="1">
      <c r="A5" s="4" t="s">
        <v>612</v>
      </c>
      <c r="C5" s="278">
        <v>2012</v>
      </c>
      <c r="D5" s="278">
        <v>2013</v>
      </c>
      <c r="E5" s="278">
        <v>2014</v>
      </c>
      <c r="F5" s="278">
        <v>2015</v>
      </c>
      <c r="G5" s="278">
        <v>2016</v>
      </c>
      <c r="H5" s="278">
        <v>2017</v>
      </c>
      <c r="I5" s="278">
        <v>2018</v>
      </c>
      <c r="J5" s="278">
        <v>2019</v>
      </c>
      <c r="K5" s="278">
        <v>2020</v>
      </c>
      <c r="L5" s="278">
        <v>2021</v>
      </c>
      <c r="M5" s="278">
        <v>2022</v>
      </c>
      <c r="N5" s="278">
        <v>2023</v>
      </c>
      <c r="O5" s="278">
        <v>2024</v>
      </c>
      <c r="P5" s="278">
        <v>2025</v>
      </c>
      <c r="Q5" s="278">
        <v>2026</v>
      </c>
      <c r="R5" s="278">
        <v>2027</v>
      </c>
      <c r="S5" s="278">
        <v>2028</v>
      </c>
      <c r="T5" s="278">
        <v>2029</v>
      </c>
      <c r="U5" s="278">
        <v>2030</v>
      </c>
      <c r="V5" s="278">
        <v>2031</v>
      </c>
      <c r="W5" s="278">
        <v>2032</v>
      </c>
      <c r="X5" s="278">
        <v>2033</v>
      </c>
      <c r="Y5" s="278">
        <v>2034</v>
      </c>
      <c r="Z5" s="278">
        <v>2035</v>
      </c>
      <c r="AA5" s="278">
        <v>2036</v>
      </c>
      <c r="AB5" s="278">
        <v>2037</v>
      </c>
      <c r="AC5" s="278">
        <v>2038</v>
      </c>
      <c r="AD5" s="278">
        <v>2039</v>
      </c>
      <c r="AE5" s="278">
        <v>2040</v>
      </c>
      <c r="AF5" s="278">
        <v>2045</v>
      </c>
      <c r="AG5" s="278">
        <v>2050</v>
      </c>
      <c r="AN5" s="5"/>
    </row>
    <row r="6" spans="1:41">
      <c r="A6" t="s">
        <v>613</v>
      </c>
      <c r="C6">
        <v>0</v>
      </c>
      <c r="D6">
        <f>C6+1</f>
        <v>1</v>
      </c>
      <c r="E6" s="4">
        <f t="shared" ref="E6:AG6" si="0">D6+1</f>
        <v>2</v>
      </c>
      <c r="F6" s="4">
        <f t="shared" si="0"/>
        <v>3</v>
      </c>
      <c r="G6" s="4">
        <f t="shared" si="0"/>
        <v>4</v>
      </c>
      <c r="H6" s="4">
        <f t="shared" si="0"/>
        <v>5</v>
      </c>
      <c r="I6" s="4">
        <f t="shared" si="0"/>
        <v>6</v>
      </c>
      <c r="J6" s="4">
        <f t="shared" si="0"/>
        <v>7</v>
      </c>
      <c r="K6" s="4">
        <f t="shared" si="0"/>
        <v>8</v>
      </c>
      <c r="L6" s="4">
        <f t="shared" si="0"/>
        <v>9</v>
      </c>
      <c r="M6" s="4">
        <f t="shared" si="0"/>
        <v>10</v>
      </c>
      <c r="N6" s="4">
        <f t="shared" si="0"/>
        <v>11</v>
      </c>
      <c r="O6" s="4">
        <f t="shared" si="0"/>
        <v>12</v>
      </c>
      <c r="P6" s="4">
        <f t="shared" si="0"/>
        <v>13</v>
      </c>
      <c r="Q6" s="4">
        <f t="shared" si="0"/>
        <v>14</v>
      </c>
      <c r="R6" s="4">
        <f t="shared" si="0"/>
        <v>15</v>
      </c>
      <c r="S6" s="4">
        <f t="shared" si="0"/>
        <v>16</v>
      </c>
      <c r="T6" s="4">
        <f t="shared" si="0"/>
        <v>17</v>
      </c>
      <c r="U6" s="4">
        <f t="shared" si="0"/>
        <v>18</v>
      </c>
      <c r="V6" s="4">
        <f t="shared" si="0"/>
        <v>19</v>
      </c>
      <c r="W6" s="4">
        <f t="shared" si="0"/>
        <v>20</v>
      </c>
      <c r="X6" s="4">
        <f t="shared" si="0"/>
        <v>21</v>
      </c>
      <c r="Y6" s="4">
        <f t="shared" si="0"/>
        <v>22</v>
      </c>
      <c r="Z6" s="4">
        <f t="shared" si="0"/>
        <v>23</v>
      </c>
      <c r="AA6" s="4">
        <f t="shared" si="0"/>
        <v>24</v>
      </c>
      <c r="AB6" s="4">
        <f t="shared" si="0"/>
        <v>25</v>
      </c>
      <c r="AC6" s="4">
        <f t="shared" si="0"/>
        <v>26</v>
      </c>
      <c r="AD6" s="4">
        <f t="shared" si="0"/>
        <v>27</v>
      </c>
      <c r="AE6" s="4">
        <f t="shared" si="0"/>
        <v>28</v>
      </c>
      <c r="AF6" s="4">
        <f t="shared" si="0"/>
        <v>29</v>
      </c>
      <c r="AG6" s="4">
        <f t="shared" si="0"/>
        <v>30</v>
      </c>
      <c r="AH6" s="4"/>
      <c r="AI6" s="4"/>
      <c r="AJ6" s="4"/>
      <c r="AK6" s="4"/>
      <c r="AL6" s="4"/>
      <c r="AM6" s="4"/>
    </row>
    <row r="7" spans="1:41">
      <c r="A7" s="134" t="s">
        <v>138</v>
      </c>
      <c r="B7" s="4">
        <v>1</v>
      </c>
      <c r="C7" s="10">
        <f>INDEX(DriversGams!$A$5:$AN$23,MATCH(Drivers!$A7,DriversGams!$A$5:$A$23,0),MATCH(Drivers!C$3,DriversGams!$A$5:$AN$5,0))</f>
        <v>69.819999999999993</v>
      </c>
      <c r="D7" s="10">
        <f>INDEX(DriversGams!$A$5:$AN$23,MATCH(Drivers!$A7,DriversGams!$A$5:$A$23,0),MATCH(Drivers!D$3,DriversGams!$A$5:$AN$5,0))</f>
        <v>72.77</v>
      </c>
      <c r="E7" s="10">
        <f>INDEX(DriversGams!$A$5:$AN$23,MATCH(Drivers!$A7,DriversGams!$A$5:$A$23,0),MATCH(Drivers!E$3,DriversGams!$A$5:$AN$5,0))</f>
        <v>75.510000000000005</v>
      </c>
      <c r="F7" s="10">
        <f>INDEX(DriversGams!$A$5:$AN$23,MATCH(Drivers!$A7,DriversGams!$A$5:$A$23,0),MATCH(Drivers!F$3,DriversGams!$A$5:$AN$5,0))</f>
        <v>74.36</v>
      </c>
      <c r="G7" s="10">
        <f>INDEX(DriversGams!$A$5:$AN$23,MATCH(Drivers!$A7,DriversGams!$A$5:$A$23,0),MATCH(Drivers!G$3,DriversGams!$A$5:$AN$5,0))</f>
        <v>73.55</v>
      </c>
      <c r="H7" s="10">
        <f>INDEX(DriversGams!$A$5:$AN$23,MATCH(Drivers!$A7,DriversGams!$A$5:$A$23,0),MATCH(Drivers!H$3,DriversGams!$A$5:$AN$5,0))</f>
        <v>76</v>
      </c>
      <c r="I7" s="10">
        <f>INDEX(DriversGams!$A$5:$AN$23,MATCH(Drivers!$A7,DriversGams!$A$5:$A$23,0),MATCH(Drivers!I$3,DriversGams!$A$5:$AN$5,0))</f>
        <v>74.78</v>
      </c>
      <c r="J7" s="10">
        <f>INDEX(DriversGams!$A$5:$AN$23,MATCH(Drivers!$A7,DriversGams!$A$5:$A$23,0),MATCH(Drivers!J$3,DriversGams!$A$5:$AN$5,0))</f>
        <v>73.53</v>
      </c>
      <c r="K7" s="10">
        <f>INDEX(DriversGams!$A$5:$AN$23,MATCH(Drivers!$A7,DriversGams!$A$5:$A$23,0),MATCH(Drivers!K$3,DriversGams!$A$5:$AN$5,0))</f>
        <v>70.959999999999994</v>
      </c>
      <c r="L7" s="10">
        <f>INDEX(DriversGams!$A$5:$AN$23,MATCH(Drivers!$A7,DriversGams!$A$5:$A$23,0),MATCH(Drivers!L$3,DriversGams!$A$5:$AN$5,0))</f>
        <v>72.959999999999994</v>
      </c>
      <c r="M7" s="10">
        <f>INDEX(DriversGams!$A$5:$AN$23,MATCH(Drivers!$A7,DriversGams!$A$5:$A$23,0),MATCH(Drivers!M$3,DriversGams!$A$5:$AN$5,0))</f>
        <v>75</v>
      </c>
      <c r="N7" s="10">
        <f>INDEX(DriversGams!$A$5:$AN$23,MATCH(Drivers!$A7,DriversGams!$A$5:$A$23,0),MATCH(Drivers!N$3,DriversGams!$A$5:$AN$5,0))</f>
        <v>76.52</v>
      </c>
      <c r="O7" s="10">
        <f>INDEX(DriversGams!$A$5:$AN$23,MATCH(Drivers!$A7,DriversGams!$A$5:$A$23,0),MATCH(Drivers!O$3,DriversGams!$A$5:$AN$5,0))</f>
        <v>77.900000000000006</v>
      </c>
      <c r="P7" s="10">
        <f>INDEX(DriversGams!$A$5:$AN$23,MATCH(Drivers!$A7,DriversGams!$A$5:$A$23,0),MATCH(Drivers!P$3,DriversGams!$A$5:$AN$5,0))</f>
        <v>79.13</v>
      </c>
      <c r="Q7" s="10">
        <f>INDEX(DriversGams!$A$5:$AN$23,MATCH(Drivers!$A7,DriversGams!$A$5:$A$23,0),MATCH(Drivers!Q$3,DriversGams!$A$5:$AN$5,0))</f>
        <v>81.150000000000006</v>
      </c>
      <c r="R7" s="10">
        <f>INDEX(DriversGams!$A$5:$AN$23,MATCH(Drivers!$A7,DriversGams!$A$5:$A$23,0),MATCH(Drivers!R$3,DriversGams!$A$5:$AN$5,0))</f>
        <v>83.06</v>
      </c>
      <c r="S7" s="10">
        <f>INDEX(DriversGams!$A$5:$AN$23,MATCH(Drivers!$A7,DriversGams!$A$5:$A$23,0),MATCH(Drivers!S$3,DriversGams!$A$5:$AN$5,0))</f>
        <v>85</v>
      </c>
      <c r="T7" s="10">
        <f>INDEX(DriversGams!$A$5:$AN$23,MATCH(Drivers!$A7,DriversGams!$A$5:$A$23,0),MATCH(Drivers!T$3,DriversGams!$A$5:$AN$5,0))</f>
        <v>86.79</v>
      </c>
      <c r="U7" s="10">
        <f>INDEX(DriversGams!$A$5:$AN$23,MATCH(Drivers!$A7,DriversGams!$A$5:$A$23,0),MATCH(Drivers!U$3,DriversGams!$A$5:$AN$5,0))</f>
        <v>88.61</v>
      </c>
      <c r="V7" s="10">
        <f>INDEX(DriversGams!$A$5:$AN$23,MATCH(Drivers!$A7,DriversGams!$A$5:$A$23,0),MATCH(Drivers!V$3,DriversGams!$A$5:$AN$5,0))</f>
        <v>90.52</v>
      </c>
      <c r="W7" s="10">
        <f>INDEX(DriversGams!$A$5:$AN$23,MATCH(Drivers!$A7,DriversGams!$A$5:$A$23,0),MATCH(Drivers!W$3,DriversGams!$A$5:$AN$5,0))</f>
        <v>92.22</v>
      </c>
      <c r="X7" s="10">
        <f>INDEX(DriversGams!$A$5:$AN$23,MATCH(Drivers!$A7,DriversGams!$A$5:$A$23,0),MATCH(Drivers!X$3,DriversGams!$A$5:$AN$5,0))</f>
        <v>94</v>
      </c>
      <c r="Y7" s="10">
        <f>INDEX(DriversGams!$A$5:$AN$23,MATCH(Drivers!$A7,DriversGams!$A$5:$A$23,0),MATCH(Drivers!Y$3,DriversGams!$A$5:$AN$5,0))</f>
        <v>95.83</v>
      </c>
      <c r="Z7" s="10">
        <f>INDEX(DriversGams!$A$5:$AN$23,MATCH(Drivers!$A7,DriversGams!$A$5:$A$23,0),MATCH(Drivers!Z$3,DriversGams!$A$5:$AN$5,0))</f>
        <v>97.69</v>
      </c>
      <c r="AA7" s="10">
        <f>INDEX(DriversGams!$A$5:$AN$23,MATCH(Drivers!$A7,DriversGams!$A$5:$A$23,0),MATCH(Drivers!AA$3,DriversGams!$A$5:$AN$5,0))</f>
        <v>99.72</v>
      </c>
      <c r="AB7" s="10">
        <f>INDEX(DriversGams!$A$5:$AN$23,MATCH(Drivers!$A7,DriversGams!$A$5:$A$23,0),MATCH(Drivers!AB$3,DriversGams!$A$5:$AN$5,0))</f>
        <v>101.85</v>
      </c>
      <c r="AC7" s="10">
        <f>INDEX(DriversGams!$A$5:$AN$23,MATCH(Drivers!$A7,DriversGams!$A$5:$A$23,0),MATCH(Drivers!AC$3,DriversGams!$A$5:$AN$5,0))</f>
        <v>104.02</v>
      </c>
      <c r="AD7" s="10">
        <f>INDEX(DriversGams!$A$5:$AN$23,MATCH(Drivers!$A7,DriversGams!$A$5:$A$23,0),MATCH(Drivers!AD$3,DriversGams!$A$5:$AN$5,0))</f>
        <v>106.26</v>
      </c>
      <c r="AE7" s="10">
        <f>INDEX(DriversGams!$A$5:$AN$23,MATCH(Drivers!$A7,DriversGams!$A$5:$A$23,0),MATCH(Drivers!AE$3,DriversGams!$A$5:$AN$5,0))</f>
        <v>108.6</v>
      </c>
      <c r="AF7" s="10">
        <f>INDEX(DriversGams!$A$5:$AN$23,MATCH(Drivers!$A7,DriversGams!$A$5:$A$23,0),MATCH(Drivers!AF$3,DriversGams!$A$5:$AN$5,0))</f>
        <v>120.7</v>
      </c>
      <c r="AG7" s="10">
        <f>INDEX(DriversGams!$A$5:$AN$23,MATCH(Drivers!$A7,DriversGams!$A$5:$A$23,0),MATCH(Drivers!AG$3,DriversGams!$A$5:$AN$5,0))</f>
        <v>136.25</v>
      </c>
      <c r="AH7" s="126"/>
      <c r="AI7" s="126"/>
      <c r="AJ7" s="126"/>
      <c r="AK7" s="126"/>
      <c r="AL7" s="126"/>
      <c r="AM7" s="126"/>
      <c r="AO7">
        <v>1</v>
      </c>
    </row>
    <row r="8" spans="1:41">
      <c r="A8" s="134" t="s">
        <v>4</v>
      </c>
      <c r="B8" s="4">
        <f>B7+1</f>
        <v>2</v>
      </c>
      <c r="C8" s="10">
        <f>INDEX(DriversGams!$A$5:$AN$23,MATCH(Drivers!$A8,DriversGams!$A$5:$A$23,0),MATCH(Drivers!C$3,DriversGams!$A$5:$AN$5,0))</f>
        <v>1833.85</v>
      </c>
      <c r="D8" s="10">
        <f>INDEX(DriversGams!$A$5:$AN$23,MATCH(Drivers!$A8,DriversGams!$A$5:$A$23,0),MATCH(Drivers!D$3,DriversGams!$A$5:$AN$5,0))</f>
        <v>1884.55</v>
      </c>
      <c r="E8" s="10">
        <f>INDEX(DriversGams!$A$5:$AN$23,MATCH(Drivers!$A8,DriversGams!$A$5:$A$23,0),MATCH(Drivers!E$3,DriversGams!$A$5:$AN$5,0))</f>
        <v>1927.88</v>
      </c>
      <c r="F8" s="10">
        <f>INDEX(DriversGams!$A$5:$AN$23,MATCH(Drivers!$A8,DriversGams!$A$5:$A$23,0),MATCH(Drivers!F$3,DriversGams!$A$5:$AN$5,0))</f>
        <v>1957.41</v>
      </c>
      <c r="G8" s="10">
        <f>INDEX(DriversGams!$A$5:$AN$23,MATCH(Drivers!$A8,DriversGams!$A$5:$A$23,0),MATCH(Drivers!G$3,DriversGams!$A$5:$AN$5,0))</f>
        <v>1982.72</v>
      </c>
      <c r="H8" s="10">
        <f>INDEX(DriversGams!$A$5:$AN$23,MATCH(Drivers!$A8,DriversGams!$A$5:$A$23,0),MATCH(Drivers!H$3,DriversGams!$A$5:$AN$5,0))</f>
        <v>2007.4</v>
      </c>
      <c r="I8" s="10">
        <f>INDEX(DriversGams!$A$5:$AN$23,MATCH(Drivers!$A8,DriversGams!$A$5:$A$23,0),MATCH(Drivers!I$3,DriversGams!$A$5:$AN$5,0))</f>
        <v>2036.6</v>
      </c>
      <c r="J8" s="10">
        <f>INDEX(DriversGams!$A$5:$AN$23,MATCH(Drivers!$A8,DriversGams!$A$5:$A$23,0),MATCH(Drivers!J$3,DriversGams!$A$5:$AN$5,0))</f>
        <v>2071.14</v>
      </c>
      <c r="K8" s="10">
        <f>INDEX(DriversGams!$A$5:$AN$23,MATCH(Drivers!$A8,DriversGams!$A$5:$A$23,0),MATCH(Drivers!K$3,DriversGams!$A$5:$AN$5,0))</f>
        <v>1915.6</v>
      </c>
      <c r="L8" s="10">
        <f>INDEX(DriversGams!$A$5:$AN$23,MATCH(Drivers!$A8,DriversGams!$A$5:$A$23,0),MATCH(Drivers!L$3,DriversGams!$A$5:$AN$5,0))</f>
        <v>1960.19</v>
      </c>
      <c r="M8" s="10">
        <f>INDEX(DriversGams!$A$5:$AN$23,MATCH(Drivers!$A8,DriversGams!$A$5:$A$23,0),MATCH(Drivers!M$3,DriversGams!$A$5:$AN$5,0))</f>
        <v>2004.23</v>
      </c>
      <c r="N8" s="10">
        <f>INDEX(DriversGams!$A$5:$AN$23,MATCH(Drivers!$A8,DriversGams!$A$5:$A$23,0),MATCH(Drivers!N$3,DriversGams!$A$5:$AN$5,0))</f>
        <v>2048.11</v>
      </c>
      <c r="O8" s="10">
        <f>INDEX(DriversGams!$A$5:$AN$23,MATCH(Drivers!$A8,DriversGams!$A$5:$A$23,0),MATCH(Drivers!O$3,DriversGams!$A$5:$AN$5,0))</f>
        <v>2091.16</v>
      </c>
      <c r="P8" s="10">
        <f>INDEX(DriversGams!$A$5:$AN$23,MATCH(Drivers!$A8,DriversGams!$A$5:$A$23,0),MATCH(Drivers!P$3,DriversGams!$A$5:$AN$5,0))</f>
        <v>2135.91</v>
      </c>
      <c r="Q8" s="10">
        <f>INDEX(DriversGams!$A$5:$AN$23,MATCH(Drivers!$A8,DriversGams!$A$5:$A$23,0),MATCH(Drivers!Q$3,DriversGams!$A$5:$AN$5,0))</f>
        <v>2188.48</v>
      </c>
      <c r="R8" s="10">
        <f>INDEX(DriversGams!$A$5:$AN$23,MATCH(Drivers!$A8,DriversGams!$A$5:$A$23,0),MATCH(Drivers!R$3,DriversGams!$A$5:$AN$5,0))</f>
        <v>2240.58</v>
      </c>
      <c r="S8" s="10">
        <f>INDEX(DriversGams!$A$5:$AN$23,MATCH(Drivers!$A8,DriversGams!$A$5:$A$23,0),MATCH(Drivers!S$3,DriversGams!$A$5:$AN$5,0))</f>
        <v>2295.15</v>
      </c>
      <c r="T8" s="10">
        <f>INDEX(DriversGams!$A$5:$AN$23,MATCH(Drivers!$A8,DriversGams!$A$5:$A$23,0),MATCH(Drivers!T$3,DriversGams!$A$5:$AN$5,0))</f>
        <v>2351.59</v>
      </c>
      <c r="U8" s="10">
        <f>INDEX(DriversGams!$A$5:$AN$23,MATCH(Drivers!$A8,DriversGams!$A$5:$A$23,0),MATCH(Drivers!U$3,DriversGams!$A$5:$AN$5,0))</f>
        <v>2409.79</v>
      </c>
      <c r="V8" s="10">
        <f>INDEX(DriversGams!$A$5:$AN$23,MATCH(Drivers!$A8,DriversGams!$A$5:$A$23,0),MATCH(Drivers!V$3,DriversGams!$A$5:$AN$5,0))</f>
        <v>2477.56</v>
      </c>
      <c r="W8" s="10">
        <f>INDEX(DriversGams!$A$5:$AN$23,MATCH(Drivers!$A8,DriversGams!$A$5:$A$23,0),MATCH(Drivers!W$3,DriversGams!$A$5:$AN$5,0))</f>
        <v>2544.31</v>
      </c>
      <c r="X8" s="10">
        <f>INDEX(DriversGams!$A$5:$AN$23,MATCH(Drivers!$A8,DriversGams!$A$5:$A$23,0),MATCH(Drivers!X$3,DriversGams!$A$5:$AN$5,0))</f>
        <v>2617.34</v>
      </c>
      <c r="Y8" s="10">
        <f>INDEX(DriversGams!$A$5:$AN$23,MATCH(Drivers!$A8,DriversGams!$A$5:$A$23,0),MATCH(Drivers!Y$3,DriversGams!$A$5:$AN$5,0))</f>
        <v>2695.68</v>
      </c>
      <c r="Z8" s="10">
        <f>INDEX(DriversGams!$A$5:$AN$23,MATCH(Drivers!$A8,DriversGams!$A$5:$A$23,0),MATCH(Drivers!Z$3,DriversGams!$A$5:$AN$5,0))</f>
        <v>2779.08</v>
      </c>
      <c r="AA8" s="10">
        <f>INDEX(DriversGams!$A$5:$AN$23,MATCH(Drivers!$A8,DriversGams!$A$5:$A$23,0),MATCH(Drivers!AA$3,DriversGams!$A$5:$AN$5,0))</f>
        <v>2866.42</v>
      </c>
      <c r="AB8" s="10">
        <f>INDEX(DriversGams!$A$5:$AN$23,MATCH(Drivers!$A8,DriversGams!$A$5:$A$23,0),MATCH(Drivers!AB$3,DriversGams!$A$5:$AN$5,0))</f>
        <v>2957.38</v>
      </c>
      <c r="AC8" s="10">
        <f>INDEX(DriversGams!$A$5:$AN$23,MATCH(Drivers!$A8,DriversGams!$A$5:$A$23,0),MATCH(Drivers!AC$3,DriversGams!$A$5:$AN$5,0))</f>
        <v>3050.01</v>
      </c>
      <c r="AD8" s="10">
        <f>INDEX(DriversGams!$A$5:$AN$23,MATCH(Drivers!$A8,DriversGams!$A$5:$A$23,0),MATCH(Drivers!AD$3,DriversGams!$A$5:$AN$5,0))</f>
        <v>3146.53</v>
      </c>
      <c r="AE8" s="10">
        <f>INDEX(DriversGams!$A$5:$AN$23,MATCH(Drivers!$A8,DriversGams!$A$5:$A$23,0),MATCH(Drivers!AE$3,DriversGams!$A$5:$AN$5,0))</f>
        <v>3249.04</v>
      </c>
      <c r="AF8" s="10">
        <f>INDEX(DriversGams!$A$5:$AN$23,MATCH(Drivers!$A8,DriversGams!$A$5:$A$23,0),MATCH(Drivers!AF$3,DriversGams!$A$5:$AN$5,0))</f>
        <v>3831.42</v>
      </c>
      <c r="AG8" s="10">
        <f>INDEX(DriversGams!$A$5:$AN$23,MATCH(Drivers!$A8,DriversGams!$A$5:$A$23,0),MATCH(Drivers!AG$3,DriversGams!$A$5:$AN$5,0))</f>
        <v>4560.04</v>
      </c>
      <c r="AH8" s="126"/>
      <c r="AI8" s="126"/>
      <c r="AJ8" s="126"/>
      <c r="AK8" s="126"/>
      <c r="AL8" s="126"/>
      <c r="AM8" s="126"/>
      <c r="AO8">
        <f>AO7+1</f>
        <v>2</v>
      </c>
    </row>
    <row r="9" spans="1:41">
      <c r="A9" s="134" t="s">
        <v>526</v>
      </c>
      <c r="B9" s="185">
        <f t="shared" ref="B9:B34" si="1">B8+1</f>
        <v>3</v>
      </c>
      <c r="C9" s="10">
        <f>INDEX(DriversGams!$A$5:$AN$23,MATCH(Drivers!$A9,DriversGams!$A$5:$A$23,0),MATCH(Drivers!C$3,DriversGams!$A$5:$AN$5,0))</f>
        <v>52.81</v>
      </c>
      <c r="D9" s="10">
        <f>INDEX(DriversGams!$A$5:$AN$23,MATCH(Drivers!$A9,DriversGams!$A$5:$A$23,0),MATCH(Drivers!D$3,DriversGams!$A$5:$AN$5,0))</f>
        <v>54.31</v>
      </c>
      <c r="E9" s="10">
        <f>INDEX(DriversGams!$A$5:$AN$23,MATCH(Drivers!$A9,DriversGams!$A$5:$A$23,0),MATCH(Drivers!E$3,DriversGams!$A$5:$AN$5,0))</f>
        <v>55.26</v>
      </c>
      <c r="F9" s="10">
        <f>INDEX(DriversGams!$A$5:$AN$23,MATCH(Drivers!$A9,DriversGams!$A$5:$A$23,0),MATCH(Drivers!F$3,DriversGams!$A$5:$AN$5,0))</f>
        <v>55.73</v>
      </c>
      <c r="G9" s="10">
        <f>INDEX(DriversGams!$A$5:$AN$23,MATCH(Drivers!$A9,DriversGams!$A$5:$A$23,0),MATCH(Drivers!G$3,DriversGams!$A$5:$AN$5,0))</f>
        <v>56.3</v>
      </c>
      <c r="H9" s="10">
        <f>INDEX(DriversGams!$A$5:$AN$23,MATCH(Drivers!$A9,DriversGams!$A$5:$A$23,0),MATCH(Drivers!H$3,DriversGams!$A$5:$AN$5,0))</f>
        <v>56.6</v>
      </c>
      <c r="I9" s="10">
        <f>INDEX(DriversGams!$A$5:$AN$23,MATCH(Drivers!$A9,DriversGams!$A$5:$A$23,0),MATCH(Drivers!I$3,DriversGams!$A$5:$AN$5,0))</f>
        <v>57.09</v>
      </c>
      <c r="J9" s="10">
        <f>INDEX(DriversGams!$A$5:$AN$23,MATCH(Drivers!$A9,DriversGams!$A$5:$A$23,0),MATCH(Drivers!J$3,DriversGams!$A$5:$AN$5,0))</f>
        <v>56.96</v>
      </c>
      <c r="K9" s="10">
        <f>INDEX(DriversGams!$A$5:$AN$23,MATCH(Drivers!$A9,DriversGams!$A$5:$A$23,0),MATCH(Drivers!K$3,DriversGams!$A$5:$AN$5,0))</f>
        <v>52.37</v>
      </c>
      <c r="L9" s="10">
        <f>INDEX(DriversGams!$A$5:$AN$23,MATCH(Drivers!$A9,DriversGams!$A$5:$A$23,0),MATCH(Drivers!L$3,DriversGams!$A$5:$AN$5,0))</f>
        <v>53.76</v>
      </c>
      <c r="M9" s="10">
        <f>INDEX(DriversGams!$A$5:$AN$23,MATCH(Drivers!$A9,DriversGams!$A$5:$A$23,0),MATCH(Drivers!M$3,DriversGams!$A$5:$AN$5,0))</f>
        <v>55.02</v>
      </c>
      <c r="N9" s="10">
        <f>INDEX(DriversGams!$A$5:$AN$23,MATCH(Drivers!$A9,DriversGams!$A$5:$A$23,0),MATCH(Drivers!N$3,DriversGams!$A$5:$AN$5,0))</f>
        <v>56.21</v>
      </c>
      <c r="O9" s="10">
        <f>INDEX(DriversGams!$A$5:$AN$23,MATCH(Drivers!$A9,DriversGams!$A$5:$A$23,0),MATCH(Drivers!O$3,DriversGams!$A$5:$AN$5,0))</f>
        <v>57.35</v>
      </c>
      <c r="P9" s="10">
        <f>INDEX(DriversGams!$A$5:$AN$23,MATCH(Drivers!$A9,DriversGams!$A$5:$A$23,0),MATCH(Drivers!P$3,DriversGams!$A$5:$AN$5,0))</f>
        <v>58.59</v>
      </c>
      <c r="Q9" s="10">
        <f>INDEX(DriversGams!$A$5:$AN$23,MATCH(Drivers!$A9,DriversGams!$A$5:$A$23,0),MATCH(Drivers!Q$3,DriversGams!$A$5:$AN$5,0))</f>
        <v>60.17</v>
      </c>
      <c r="R9" s="10">
        <f>INDEX(DriversGams!$A$5:$AN$23,MATCH(Drivers!$A9,DriversGams!$A$5:$A$23,0),MATCH(Drivers!R$3,DriversGams!$A$5:$AN$5,0))</f>
        <v>61.72</v>
      </c>
      <c r="S9" s="10">
        <f>INDEX(DriversGams!$A$5:$AN$23,MATCH(Drivers!$A9,DriversGams!$A$5:$A$23,0),MATCH(Drivers!S$3,DriversGams!$A$5:$AN$5,0))</f>
        <v>63.31</v>
      </c>
      <c r="T9" s="10">
        <f>INDEX(DriversGams!$A$5:$AN$23,MATCH(Drivers!$A9,DriversGams!$A$5:$A$23,0),MATCH(Drivers!T$3,DriversGams!$A$5:$AN$5,0))</f>
        <v>65.09</v>
      </c>
      <c r="U9" s="10">
        <f>INDEX(DriversGams!$A$5:$AN$23,MATCH(Drivers!$A9,DriversGams!$A$5:$A$23,0),MATCH(Drivers!U$3,DriversGams!$A$5:$AN$5,0))</f>
        <v>66.930000000000007</v>
      </c>
      <c r="V9" s="10">
        <f>INDEX(DriversGams!$A$5:$AN$23,MATCH(Drivers!$A9,DriversGams!$A$5:$A$23,0),MATCH(Drivers!V$3,DriversGams!$A$5:$AN$5,0))</f>
        <v>68.83</v>
      </c>
      <c r="W9" s="10">
        <f>INDEX(DriversGams!$A$5:$AN$23,MATCH(Drivers!$A9,DriversGams!$A$5:$A$23,0),MATCH(Drivers!W$3,DriversGams!$A$5:$AN$5,0))</f>
        <v>70.67</v>
      </c>
      <c r="X9" s="10">
        <f>INDEX(DriversGams!$A$5:$AN$23,MATCH(Drivers!$A9,DriversGams!$A$5:$A$23,0),MATCH(Drivers!X$3,DriversGams!$A$5:$AN$5,0))</f>
        <v>72.69</v>
      </c>
      <c r="Y9" s="10">
        <f>INDEX(DriversGams!$A$5:$AN$23,MATCH(Drivers!$A9,DriversGams!$A$5:$A$23,0),MATCH(Drivers!Y$3,DriversGams!$A$5:$AN$5,0))</f>
        <v>74.849999999999994</v>
      </c>
      <c r="Z9" s="10">
        <f>INDEX(DriversGams!$A$5:$AN$23,MATCH(Drivers!$A9,DriversGams!$A$5:$A$23,0),MATCH(Drivers!Z$3,DriversGams!$A$5:$AN$5,0))</f>
        <v>77.23</v>
      </c>
      <c r="AA9" s="10">
        <f>INDEX(DriversGams!$A$5:$AN$23,MATCH(Drivers!$A9,DriversGams!$A$5:$A$23,0),MATCH(Drivers!AA$3,DriversGams!$A$5:$AN$5,0))</f>
        <v>79.680000000000007</v>
      </c>
      <c r="AB9" s="10">
        <f>INDEX(DriversGams!$A$5:$AN$23,MATCH(Drivers!$A9,DriversGams!$A$5:$A$23,0),MATCH(Drivers!AB$3,DriversGams!$A$5:$AN$5,0))</f>
        <v>82.2</v>
      </c>
      <c r="AC9" s="10">
        <f>INDEX(DriversGams!$A$5:$AN$23,MATCH(Drivers!$A9,DriversGams!$A$5:$A$23,0),MATCH(Drivers!AC$3,DriversGams!$A$5:$AN$5,0))</f>
        <v>84.75</v>
      </c>
      <c r="AD9" s="10">
        <f>INDEX(DriversGams!$A$5:$AN$23,MATCH(Drivers!$A9,DriversGams!$A$5:$A$23,0),MATCH(Drivers!AD$3,DriversGams!$A$5:$AN$5,0))</f>
        <v>87.38</v>
      </c>
      <c r="AE9" s="10">
        <f>INDEX(DriversGams!$A$5:$AN$23,MATCH(Drivers!$A9,DriversGams!$A$5:$A$23,0),MATCH(Drivers!AE$3,DriversGams!$A$5:$AN$5,0))</f>
        <v>90.15</v>
      </c>
      <c r="AF9" s="10">
        <f>INDEX(DriversGams!$A$5:$AN$23,MATCH(Drivers!$A9,DriversGams!$A$5:$A$23,0),MATCH(Drivers!AF$3,DriversGams!$A$5:$AN$5,0))</f>
        <v>105</v>
      </c>
      <c r="AG9" s="10">
        <f>INDEX(DriversGams!$A$5:$AN$23,MATCH(Drivers!$A9,DriversGams!$A$5:$A$23,0),MATCH(Drivers!AG$3,DriversGams!$A$5:$AN$5,0))</f>
        <v>123.19</v>
      </c>
      <c r="AH9" s="126"/>
      <c r="AI9" s="126"/>
      <c r="AJ9" s="126"/>
      <c r="AK9" s="126"/>
      <c r="AL9" s="126"/>
      <c r="AM9" s="126"/>
      <c r="AO9" s="4">
        <f t="shared" ref="AO9:AO22" si="2">AO8+1</f>
        <v>3</v>
      </c>
    </row>
    <row r="10" spans="1:41">
      <c r="A10" s="134" t="s">
        <v>523</v>
      </c>
      <c r="B10" s="185">
        <f t="shared" si="1"/>
        <v>4</v>
      </c>
      <c r="C10" s="10">
        <f>INDEX(DriversGams!$A$5:$AN$23,MATCH(Drivers!$A10,DriversGams!$A$5:$A$23,0),MATCH(Drivers!C$3,DriversGams!$A$5:$AN$5,0))</f>
        <v>93.1</v>
      </c>
      <c r="D10" s="10">
        <f>INDEX(DriversGams!$A$5:$AN$23,MATCH(Drivers!$A10,DriversGams!$A$5:$A$23,0),MATCH(Drivers!D$3,DriversGams!$A$5:$AN$5,0))</f>
        <v>94.81</v>
      </c>
      <c r="E10" s="10">
        <f>INDEX(DriversGams!$A$5:$AN$23,MATCH(Drivers!$A10,DriversGams!$A$5:$A$23,0),MATCH(Drivers!E$3,DriversGams!$A$5:$AN$5,0))</f>
        <v>96.04</v>
      </c>
      <c r="F10" s="10">
        <f>INDEX(DriversGams!$A$5:$AN$23,MATCH(Drivers!$A10,DriversGams!$A$5:$A$23,0),MATCH(Drivers!F$3,DriversGams!$A$5:$AN$5,0))</f>
        <v>96.13</v>
      </c>
      <c r="G10" s="10">
        <f>INDEX(DriversGams!$A$5:$AN$23,MATCH(Drivers!$A10,DriversGams!$A$5:$A$23,0),MATCH(Drivers!G$3,DriversGams!$A$5:$AN$5,0))</f>
        <v>97.44</v>
      </c>
      <c r="H10" s="10">
        <f>INDEX(DriversGams!$A$5:$AN$23,MATCH(Drivers!$A10,DriversGams!$A$5:$A$23,0),MATCH(Drivers!H$3,DriversGams!$A$5:$AN$5,0))</f>
        <v>97.81</v>
      </c>
      <c r="I10" s="10">
        <f>INDEX(DriversGams!$A$5:$AN$23,MATCH(Drivers!$A10,DriversGams!$A$5:$A$23,0),MATCH(Drivers!I$3,DriversGams!$A$5:$AN$5,0))</f>
        <v>98.48</v>
      </c>
      <c r="J10" s="10">
        <f>INDEX(DriversGams!$A$5:$AN$23,MATCH(Drivers!$A10,DriversGams!$A$5:$A$23,0),MATCH(Drivers!J$3,DriversGams!$A$5:$AN$5,0))</f>
        <v>97.71</v>
      </c>
      <c r="K10" s="10">
        <f>INDEX(DriversGams!$A$5:$AN$23,MATCH(Drivers!$A10,DriversGams!$A$5:$A$23,0),MATCH(Drivers!K$3,DriversGams!$A$5:$AN$5,0))</f>
        <v>92.79</v>
      </c>
      <c r="L10" s="10">
        <f>INDEX(DriversGams!$A$5:$AN$23,MATCH(Drivers!$A10,DriversGams!$A$5:$A$23,0),MATCH(Drivers!L$3,DriversGams!$A$5:$AN$5,0))</f>
        <v>95.58</v>
      </c>
      <c r="M10" s="10">
        <f>INDEX(DriversGams!$A$5:$AN$23,MATCH(Drivers!$A10,DriversGams!$A$5:$A$23,0),MATCH(Drivers!M$3,DriversGams!$A$5:$AN$5,0))</f>
        <v>98.13</v>
      </c>
      <c r="N10" s="10">
        <f>INDEX(DriversGams!$A$5:$AN$23,MATCH(Drivers!$A10,DriversGams!$A$5:$A$23,0),MATCH(Drivers!N$3,DriversGams!$A$5:$AN$5,0))</f>
        <v>100.22</v>
      </c>
      <c r="O10" s="10">
        <f>INDEX(DriversGams!$A$5:$AN$23,MATCH(Drivers!$A10,DriversGams!$A$5:$A$23,0),MATCH(Drivers!O$3,DriversGams!$A$5:$AN$5,0))</f>
        <v>102.18</v>
      </c>
      <c r="P10" s="10">
        <f>INDEX(DriversGams!$A$5:$AN$23,MATCH(Drivers!$A10,DriversGams!$A$5:$A$23,0),MATCH(Drivers!P$3,DriversGams!$A$5:$AN$5,0))</f>
        <v>104.28</v>
      </c>
      <c r="Q10" s="10">
        <f>INDEX(DriversGams!$A$5:$AN$23,MATCH(Drivers!$A10,DriversGams!$A$5:$A$23,0),MATCH(Drivers!Q$3,DriversGams!$A$5:$AN$5,0))</f>
        <v>107.16</v>
      </c>
      <c r="R10" s="10">
        <f>INDEX(DriversGams!$A$5:$AN$23,MATCH(Drivers!$A10,DriversGams!$A$5:$A$23,0),MATCH(Drivers!R$3,DriversGams!$A$5:$AN$5,0))</f>
        <v>109.9</v>
      </c>
      <c r="S10" s="10">
        <f>INDEX(DriversGams!$A$5:$AN$23,MATCH(Drivers!$A10,DriversGams!$A$5:$A$23,0),MATCH(Drivers!S$3,DriversGams!$A$5:$AN$5,0))</f>
        <v>112.65</v>
      </c>
      <c r="T10" s="10">
        <f>INDEX(DriversGams!$A$5:$AN$23,MATCH(Drivers!$A10,DriversGams!$A$5:$A$23,0),MATCH(Drivers!T$3,DriversGams!$A$5:$AN$5,0))</f>
        <v>115.22</v>
      </c>
      <c r="U10" s="10">
        <f>INDEX(DriversGams!$A$5:$AN$23,MATCH(Drivers!$A10,DriversGams!$A$5:$A$23,0),MATCH(Drivers!U$3,DriversGams!$A$5:$AN$5,0))</f>
        <v>117.84</v>
      </c>
      <c r="V10" s="10">
        <f>INDEX(DriversGams!$A$5:$AN$23,MATCH(Drivers!$A10,DriversGams!$A$5:$A$23,0),MATCH(Drivers!V$3,DriversGams!$A$5:$AN$5,0))</f>
        <v>120.44</v>
      </c>
      <c r="W10" s="10">
        <f>INDEX(DriversGams!$A$5:$AN$23,MATCH(Drivers!$A10,DriversGams!$A$5:$A$23,0),MATCH(Drivers!W$3,DriversGams!$A$5:$AN$5,0))</f>
        <v>122.85</v>
      </c>
      <c r="X10" s="10">
        <f>INDEX(DriversGams!$A$5:$AN$23,MATCH(Drivers!$A10,DriversGams!$A$5:$A$23,0),MATCH(Drivers!X$3,DriversGams!$A$5:$AN$5,0))</f>
        <v>125.47</v>
      </c>
      <c r="Y10" s="10">
        <f>INDEX(DriversGams!$A$5:$AN$23,MATCH(Drivers!$A10,DriversGams!$A$5:$A$23,0),MATCH(Drivers!Y$3,DriversGams!$A$5:$AN$5,0))</f>
        <v>128.21</v>
      </c>
      <c r="Z10" s="10">
        <f>INDEX(DriversGams!$A$5:$AN$23,MATCH(Drivers!$A10,DriversGams!$A$5:$A$23,0),MATCH(Drivers!Z$3,DriversGams!$A$5:$AN$5,0))</f>
        <v>131.01</v>
      </c>
      <c r="AA10" s="10">
        <f>INDEX(DriversGams!$A$5:$AN$23,MATCH(Drivers!$A10,DriversGams!$A$5:$A$23,0),MATCH(Drivers!AA$3,DriversGams!$A$5:$AN$5,0))</f>
        <v>134.12</v>
      </c>
      <c r="AB10" s="10">
        <f>INDEX(DriversGams!$A$5:$AN$23,MATCH(Drivers!$A10,DriversGams!$A$5:$A$23,0),MATCH(Drivers!AB$3,DriversGams!$A$5:$AN$5,0))</f>
        <v>137.33000000000001</v>
      </c>
      <c r="AC10" s="10">
        <f>INDEX(DriversGams!$A$5:$AN$23,MATCH(Drivers!$A10,DriversGams!$A$5:$A$23,0),MATCH(Drivers!AC$3,DriversGams!$A$5:$AN$5,0))</f>
        <v>140.49</v>
      </c>
      <c r="AD10" s="10">
        <f>INDEX(DriversGams!$A$5:$AN$23,MATCH(Drivers!$A10,DriversGams!$A$5:$A$23,0),MATCH(Drivers!AD$3,DriversGams!$A$5:$AN$5,0))</f>
        <v>143.72</v>
      </c>
      <c r="AE10" s="10">
        <f>INDEX(DriversGams!$A$5:$AN$23,MATCH(Drivers!$A10,DriversGams!$A$5:$A$23,0),MATCH(Drivers!AE$3,DriversGams!$A$5:$AN$5,0))</f>
        <v>147.09</v>
      </c>
      <c r="AF10" s="10">
        <f>INDEX(DriversGams!$A$5:$AN$23,MATCH(Drivers!$A10,DriversGams!$A$5:$A$23,0),MATCH(Drivers!AF$3,DriversGams!$A$5:$AN$5,0))</f>
        <v>164.01</v>
      </c>
      <c r="AG10" s="10">
        <f>INDEX(DriversGams!$A$5:$AN$23,MATCH(Drivers!$A10,DriversGams!$A$5:$A$23,0),MATCH(Drivers!AG$3,DriversGams!$A$5:$AN$5,0))</f>
        <v>184.39</v>
      </c>
      <c r="AH10" s="126"/>
      <c r="AI10" s="126"/>
      <c r="AJ10" s="126"/>
      <c r="AK10" s="126"/>
      <c r="AL10" s="126"/>
      <c r="AM10" s="126"/>
      <c r="AO10" s="4">
        <f t="shared" si="2"/>
        <v>4</v>
      </c>
    </row>
    <row r="11" spans="1:41">
      <c r="A11" s="134" t="s">
        <v>602</v>
      </c>
      <c r="B11" s="185">
        <f t="shared" si="1"/>
        <v>5</v>
      </c>
      <c r="C11" s="10">
        <f>INDEX(DriversGams!$A$5:$AN$23,MATCH(Drivers!$A11,DriversGams!$A$5:$A$23,0),MATCH(Drivers!C$3,DriversGams!$A$5:$AN$5,0))</f>
        <v>0</v>
      </c>
      <c r="D11" s="10">
        <f>INDEX(DriversGams!$A$5:$AN$23,MATCH(Drivers!$A11,DriversGams!$A$5:$A$23,0),MATCH(Drivers!D$3,DriversGams!$A$5:$AN$5,0))</f>
        <v>0</v>
      </c>
      <c r="E11" s="10">
        <f>INDEX(DriversGams!$A$5:$AN$23,MATCH(Drivers!$A11,DriversGams!$A$5:$A$23,0),MATCH(Drivers!E$3,DriversGams!$A$5:$AN$5,0))</f>
        <v>0</v>
      </c>
      <c r="F11" s="10">
        <f>INDEX(DriversGams!$A$5:$AN$23,MATCH(Drivers!$A11,DriversGams!$A$5:$A$23,0),MATCH(Drivers!F$3,DriversGams!$A$5:$AN$5,0))</f>
        <v>0</v>
      </c>
      <c r="G11" s="10">
        <f>INDEX(DriversGams!$A$5:$AN$23,MATCH(Drivers!$A11,DriversGams!$A$5:$A$23,0),MATCH(Drivers!G$3,DriversGams!$A$5:$AN$5,0))</f>
        <v>0</v>
      </c>
      <c r="H11" s="10">
        <f>INDEX(DriversGams!$A$5:$AN$23,MATCH(Drivers!$A11,DriversGams!$A$5:$A$23,0),MATCH(Drivers!H$3,DriversGams!$A$5:$AN$5,0))</f>
        <v>0</v>
      </c>
      <c r="I11" s="10">
        <f>INDEX(DriversGams!$A$5:$AN$23,MATCH(Drivers!$A11,DriversGams!$A$5:$A$23,0),MATCH(Drivers!I$3,DriversGams!$A$5:$AN$5,0))</f>
        <v>0</v>
      </c>
      <c r="J11" s="10">
        <f>INDEX(DriversGams!$A$5:$AN$23,MATCH(Drivers!$A11,DriversGams!$A$5:$A$23,0),MATCH(Drivers!J$3,DriversGams!$A$5:$AN$5,0))</f>
        <v>0</v>
      </c>
      <c r="K11" s="10">
        <f>INDEX(DriversGams!$A$5:$AN$23,MATCH(Drivers!$A11,DriversGams!$A$5:$A$23,0),MATCH(Drivers!K$3,DriversGams!$A$5:$AN$5,0))</f>
        <v>0</v>
      </c>
      <c r="L11" s="10">
        <f>INDEX(DriversGams!$A$5:$AN$23,MATCH(Drivers!$A11,DriversGams!$A$5:$A$23,0),MATCH(Drivers!L$3,DriversGams!$A$5:$AN$5,0))</f>
        <v>0</v>
      </c>
      <c r="M11" s="10">
        <f>INDEX(DriversGams!$A$5:$AN$23,MATCH(Drivers!$A11,DriversGams!$A$5:$A$23,0),MATCH(Drivers!M$3,DriversGams!$A$5:$AN$5,0))</f>
        <v>0</v>
      </c>
      <c r="N11" s="10">
        <f>INDEX(DriversGams!$A$5:$AN$23,MATCH(Drivers!$A11,DriversGams!$A$5:$A$23,0),MATCH(Drivers!N$3,DriversGams!$A$5:$AN$5,0))</f>
        <v>0</v>
      </c>
      <c r="O11" s="10">
        <f>INDEX(DriversGams!$A$5:$AN$23,MATCH(Drivers!$A11,DriversGams!$A$5:$A$23,0),MATCH(Drivers!O$3,DriversGams!$A$5:$AN$5,0))</f>
        <v>0</v>
      </c>
      <c r="P11" s="10">
        <f>INDEX(DriversGams!$A$5:$AN$23,MATCH(Drivers!$A11,DriversGams!$A$5:$A$23,0),MATCH(Drivers!P$3,DriversGams!$A$5:$AN$5,0))</f>
        <v>0</v>
      </c>
      <c r="Q11" s="10">
        <f>INDEX(DriversGams!$A$5:$AN$23,MATCH(Drivers!$A11,DriversGams!$A$5:$A$23,0),MATCH(Drivers!Q$3,DriversGams!$A$5:$AN$5,0))</f>
        <v>0</v>
      </c>
      <c r="R11" s="10">
        <f>INDEX(DriversGams!$A$5:$AN$23,MATCH(Drivers!$A11,DriversGams!$A$5:$A$23,0),MATCH(Drivers!R$3,DriversGams!$A$5:$AN$5,0))</f>
        <v>0</v>
      </c>
      <c r="S11" s="10">
        <f>INDEX(DriversGams!$A$5:$AN$23,MATCH(Drivers!$A11,DriversGams!$A$5:$A$23,0),MATCH(Drivers!S$3,DriversGams!$A$5:$AN$5,0))</f>
        <v>0</v>
      </c>
      <c r="T11" s="10">
        <f>INDEX(DriversGams!$A$5:$AN$23,MATCH(Drivers!$A11,DriversGams!$A$5:$A$23,0),MATCH(Drivers!T$3,DriversGams!$A$5:$AN$5,0))</f>
        <v>0.63</v>
      </c>
      <c r="U11" s="10">
        <f>INDEX(DriversGams!$A$5:$AN$23,MATCH(Drivers!$A11,DriversGams!$A$5:$A$23,0),MATCH(Drivers!U$3,DriversGams!$A$5:$AN$5,0))</f>
        <v>1.1000000000000001</v>
      </c>
      <c r="V11" s="10">
        <f>INDEX(DriversGams!$A$5:$AN$23,MATCH(Drivers!$A11,DriversGams!$A$5:$A$23,0),MATCH(Drivers!V$3,DriversGams!$A$5:$AN$5,0))</f>
        <v>1.62</v>
      </c>
      <c r="W11" s="10">
        <f>INDEX(DriversGams!$A$5:$AN$23,MATCH(Drivers!$A11,DriversGams!$A$5:$A$23,0),MATCH(Drivers!W$3,DriversGams!$A$5:$AN$5,0))</f>
        <v>2.14</v>
      </c>
      <c r="X11" s="10">
        <f>INDEX(DriversGams!$A$5:$AN$23,MATCH(Drivers!$A11,DriversGams!$A$5:$A$23,0),MATCH(Drivers!X$3,DriversGams!$A$5:$AN$5,0))</f>
        <v>2.65</v>
      </c>
      <c r="Y11" s="10">
        <f>INDEX(DriversGams!$A$5:$AN$23,MATCH(Drivers!$A11,DriversGams!$A$5:$A$23,0),MATCH(Drivers!Y$3,DriversGams!$A$5:$AN$5,0))</f>
        <v>3.15</v>
      </c>
      <c r="Z11" s="10">
        <f>INDEX(DriversGams!$A$5:$AN$23,MATCH(Drivers!$A11,DriversGams!$A$5:$A$23,0),MATCH(Drivers!Z$3,DriversGams!$A$5:$AN$5,0))</f>
        <v>3.95</v>
      </c>
      <c r="AA11" s="10">
        <f>INDEX(DriversGams!$A$5:$AN$23,MATCH(Drivers!$A11,DriversGams!$A$5:$A$23,0),MATCH(Drivers!AA$3,DriversGams!$A$5:$AN$5,0))</f>
        <v>4.43</v>
      </c>
      <c r="AB11" s="10">
        <f>INDEX(DriversGams!$A$5:$AN$23,MATCH(Drivers!$A11,DriversGams!$A$5:$A$23,0),MATCH(Drivers!AB$3,DriversGams!$A$5:$AN$5,0))</f>
        <v>4.9000000000000004</v>
      </c>
      <c r="AC11" s="10">
        <f>INDEX(DriversGams!$A$5:$AN$23,MATCH(Drivers!$A11,DriversGams!$A$5:$A$23,0),MATCH(Drivers!AC$3,DriversGams!$A$5:$AN$5,0))</f>
        <v>5.38</v>
      </c>
      <c r="AD11" s="10">
        <f>INDEX(DriversGams!$A$5:$AN$23,MATCH(Drivers!$A11,DriversGams!$A$5:$A$23,0),MATCH(Drivers!AD$3,DriversGams!$A$5:$AN$5,0))</f>
        <v>5.86</v>
      </c>
      <c r="AE11" s="10">
        <f>INDEX(DriversGams!$A$5:$AN$23,MATCH(Drivers!$A11,DriversGams!$A$5:$A$23,0),MATCH(Drivers!AE$3,DriversGams!$A$5:$AN$5,0))</f>
        <v>6.34</v>
      </c>
      <c r="AF11" s="10">
        <f>INDEX(DriversGams!$A$5:$AN$23,MATCH(Drivers!$A11,DriversGams!$A$5:$A$23,0),MATCH(Drivers!AF$3,DriversGams!$A$5:$AN$5,0))</f>
        <v>8.6</v>
      </c>
      <c r="AG11" s="10">
        <f>INDEX(DriversGams!$A$5:$AN$23,MATCH(Drivers!$A11,DriversGams!$A$5:$A$23,0),MATCH(Drivers!AG$3,DriversGams!$A$5:$AN$5,0))</f>
        <v>9.9</v>
      </c>
      <c r="AH11" s="126"/>
      <c r="AI11" s="126"/>
      <c r="AJ11" s="126"/>
      <c r="AK11" s="126"/>
      <c r="AL11" s="126"/>
      <c r="AM11" s="126"/>
      <c r="AO11" s="4">
        <f t="shared" si="2"/>
        <v>5</v>
      </c>
    </row>
    <row r="12" spans="1:41">
      <c r="A12" s="134" t="s">
        <v>388</v>
      </c>
      <c r="B12" s="185">
        <f t="shared" si="1"/>
        <v>6</v>
      </c>
      <c r="C12" s="10">
        <f>INDEX(DriversGams!$A$5:$AN$23,MATCH(Drivers!$A12,DriversGams!$A$5:$A$23,0),MATCH(Drivers!C$3,DriversGams!$A$5:$AN$5,0))</f>
        <v>13.35</v>
      </c>
      <c r="D12" s="10">
        <f>INDEX(DriversGams!$A$5:$AN$23,MATCH(Drivers!$A12,DriversGams!$A$5:$A$23,0),MATCH(Drivers!D$3,DriversGams!$A$5:$AN$5,0))</f>
        <v>13.74</v>
      </c>
      <c r="E12" s="10">
        <f>INDEX(DriversGams!$A$5:$AN$23,MATCH(Drivers!$A12,DriversGams!$A$5:$A$23,0),MATCH(Drivers!E$3,DriversGams!$A$5:$AN$5,0))</f>
        <v>13.91</v>
      </c>
      <c r="F12" s="10">
        <f>INDEX(DriversGams!$A$5:$AN$23,MATCH(Drivers!$A12,DriversGams!$A$5:$A$23,0),MATCH(Drivers!F$3,DriversGams!$A$5:$AN$5,0))</f>
        <v>14.13</v>
      </c>
      <c r="G12" s="10">
        <f>INDEX(DriversGams!$A$5:$AN$23,MATCH(Drivers!$A12,DriversGams!$A$5:$A$23,0),MATCH(Drivers!G$3,DriversGams!$A$5:$AN$5,0))</f>
        <v>14.15</v>
      </c>
      <c r="H12" s="10">
        <f>INDEX(DriversGams!$A$5:$AN$23,MATCH(Drivers!$A12,DriversGams!$A$5:$A$23,0),MATCH(Drivers!H$3,DriversGams!$A$5:$AN$5,0))</f>
        <v>14.18</v>
      </c>
      <c r="I12" s="10">
        <f>INDEX(DriversGams!$A$5:$AN$23,MATCH(Drivers!$A12,DriversGams!$A$5:$A$23,0),MATCH(Drivers!I$3,DriversGams!$A$5:$AN$5,0))</f>
        <v>14.21</v>
      </c>
      <c r="J12" s="10">
        <f>INDEX(DriversGams!$A$5:$AN$23,MATCH(Drivers!$A12,DriversGams!$A$5:$A$23,0),MATCH(Drivers!J$3,DriversGams!$A$5:$AN$5,0))</f>
        <v>14.08</v>
      </c>
      <c r="K12" s="10">
        <f>INDEX(DriversGams!$A$5:$AN$23,MATCH(Drivers!$A12,DriversGams!$A$5:$A$23,0),MATCH(Drivers!K$3,DriversGams!$A$5:$AN$5,0))</f>
        <v>12.26</v>
      </c>
      <c r="L12" s="10">
        <f>INDEX(DriversGams!$A$5:$AN$23,MATCH(Drivers!$A12,DriversGams!$A$5:$A$23,0),MATCH(Drivers!L$3,DriversGams!$A$5:$AN$5,0))</f>
        <v>12.65</v>
      </c>
      <c r="M12" s="10">
        <f>INDEX(DriversGams!$A$5:$AN$23,MATCH(Drivers!$A12,DriversGams!$A$5:$A$23,0),MATCH(Drivers!M$3,DriversGams!$A$5:$AN$5,0))</f>
        <v>12.9</v>
      </c>
      <c r="N12" s="10">
        <f>INDEX(DriversGams!$A$5:$AN$23,MATCH(Drivers!$A12,DriversGams!$A$5:$A$23,0),MATCH(Drivers!N$3,DriversGams!$A$5:$AN$5,0))</f>
        <v>13.13</v>
      </c>
      <c r="O12" s="10">
        <f>INDEX(DriversGams!$A$5:$AN$23,MATCH(Drivers!$A12,DriversGams!$A$5:$A$23,0),MATCH(Drivers!O$3,DriversGams!$A$5:$AN$5,0))</f>
        <v>13.34</v>
      </c>
      <c r="P12" s="10">
        <f>INDEX(DriversGams!$A$5:$AN$23,MATCH(Drivers!$A12,DriversGams!$A$5:$A$23,0),MATCH(Drivers!P$3,DriversGams!$A$5:$AN$5,0))</f>
        <v>13.63</v>
      </c>
      <c r="Q12" s="10">
        <f>INDEX(DriversGams!$A$5:$AN$23,MATCH(Drivers!$A12,DriversGams!$A$5:$A$23,0),MATCH(Drivers!Q$3,DriversGams!$A$5:$AN$5,0))</f>
        <v>14.12</v>
      </c>
      <c r="R12" s="10">
        <f>INDEX(DriversGams!$A$5:$AN$23,MATCH(Drivers!$A12,DriversGams!$A$5:$A$23,0),MATCH(Drivers!R$3,DriversGams!$A$5:$AN$5,0))</f>
        <v>14.6</v>
      </c>
      <c r="S12" s="10">
        <f>INDEX(DriversGams!$A$5:$AN$23,MATCH(Drivers!$A12,DriversGams!$A$5:$A$23,0),MATCH(Drivers!S$3,DriversGams!$A$5:$AN$5,0))</f>
        <v>15.08</v>
      </c>
      <c r="T12" s="10">
        <f>INDEX(DriversGams!$A$5:$AN$23,MATCH(Drivers!$A12,DriversGams!$A$5:$A$23,0),MATCH(Drivers!T$3,DriversGams!$A$5:$AN$5,0))</f>
        <v>15.43</v>
      </c>
      <c r="U12" s="10">
        <f>INDEX(DriversGams!$A$5:$AN$23,MATCH(Drivers!$A12,DriversGams!$A$5:$A$23,0),MATCH(Drivers!U$3,DriversGams!$A$5:$AN$5,0))</f>
        <v>15.88</v>
      </c>
      <c r="V12" s="10">
        <f>INDEX(DriversGams!$A$5:$AN$23,MATCH(Drivers!$A12,DriversGams!$A$5:$A$23,0),MATCH(Drivers!V$3,DriversGams!$A$5:$AN$5,0))</f>
        <v>16.239999999999998</v>
      </c>
      <c r="W12" s="10">
        <f>INDEX(DriversGams!$A$5:$AN$23,MATCH(Drivers!$A12,DriversGams!$A$5:$A$23,0),MATCH(Drivers!W$3,DriversGams!$A$5:$AN$5,0))</f>
        <v>16.559999999999999</v>
      </c>
      <c r="X12" s="10">
        <f>INDEX(DriversGams!$A$5:$AN$23,MATCH(Drivers!$A12,DriversGams!$A$5:$A$23,0),MATCH(Drivers!X$3,DriversGams!$A$5:$AN$5,0))</f>
        <v>16.93</v>
      </c>
      <c r="Y12" s="10">
        <f>INDEX(DriversGams!$A$5:$AN$23,MATCH(Drivers!$A12,DriversGams!$A$5:$A$23,0),MATCH(Drivers!Y$3,DriversGams!$A$5:$AN$5,0))</f>
        <v>17.34</v>
      </c>
      <c r="Z12" s="10">
        <f>INDEX(DriversGams!$A$5:$AN$23,MATCH(Drivers!$A12,DriversGams!$A$5:$A$23,0),MATCH(Drivers!Z$3,DriversGams!$A$5:$AN$5,0))</f>
        <v>17.73</v>
      </c>
      <c r="AA12" s="10">
        <f>INDEX(DriversGams!$A$5:$AN$23,MATCH(Drivers!$A12,DriversGams!$A$5:$A$23,0),MATCH(Drivers!AA$3,DriversGams!$A$5:$AN$5,0))</f>
        <v>18.190000000000001</v>
      </c>
      <c r="AB12" s="10">
        <f>INDEX(DriversGams!$A$5:$AN$23,MATCH(Drivers!$A12,DriversGams!$A$5:$A$23,0),MATCH(Drivers!AB$3,DriversGams!$A$5:$AN$5,0))</f>
        <v>18.670000000000002</v>
      </c>
      <c r="AC12" s="10">
        <f>INDEX(DriversGams!$A$5:$AN$23,MATCH(Drivers!$A12,DriversGams!$A$5:$A$23,0),MATCH(Drivers!AC$3,DriversGams!$A$5:$AN$5,0))</f>
        <v>19.14</v>
      </c>
      <c r="AD12" s="10">
        <f>INDEX(DriversGams!$A$5:$AN$23,MATCH(Drivers!$A12,DriversGams!$A$5:$A$23,0),MATCH(Drivers!AD$3,DriversGams!$A$5:$AN$5,0))</f>
        <v>19.63</v>
      </c>
      <c r="AE12" s="10">
        <f>INDEX(DriversGams!$A$5:$AN$23,MATCH(Drivers!$A12,DriversGams!$A$5:$A$23,0),MATCH(Drivers!AE$3,DriversGams!$A$5:$AN$5,0))</f>
        <v>20.14</v>
      </c>
      <c r="AF12" s="10">
        <f>INDEX(DriversGams!$A$5:$AN$23,MATCH(Drivers!$A12,DriversGams!$A$5:$A$23,0),MATCH(Drivers!AF$3,DriversGams!$A$5:$AN$5,0))</f>
        <v>22.59</v>
      </c>
      <c r="AG12" s="10">
        <f>INDEX(DriversGams!$A$5:$AN$23,MATCH(Drivers!$A12,DriversGams!$A$5:$A$23,0),MATCH(Drivers!AG$3,DriversGams!$A$5:$AN$5,0))</f>
        <v>25.89</v>
      </c>
      <c r="AH12" s="126"/>
      <c r="AI12" s="126"/>
      <c r="AJ12" s="126"/>
      <c r="AK12" s="126"/>
      <c r="AL12" s="126"/>
      <c r="AM12" s="126"/>
      <c r="AO12" s="4">
        <f t="shared" si="2"/>
        <v>6</v>
      </c>
    </row>
    <row r="13" spans="1:41">
      <c r="A13" s="134" t="s">
        <v>387</v>
      </c>
      <c r="B13" s="185">
        <f t="shared" si="1"/>
        <v>7</v>
      </c>
      <c r="C13" s="10">
        <f>INDEX(DriversGams!$A$5:$AN$23,MATCH(Drivers!$A13,DriversGams!$A$5:$A$23,0),MATCH(Drivers!C$3,DriversGams!$A$5:$AN$5,0))</f>
        <v>205.45</v>
      </c>
      <c r="D13" s="10">
        <f>INDEX(DriversGams!$A$5:$AN$23,MATCH(Drivers!$A13,DriversGams!$A$5:$A$23,0),MATCH(Drivers!D$3,DriversGams!$A$5:$AN$5,0))</f>
        <v>210.29</v>
      </c>
      <c r="E13" s="10">
        <f>INDEX(DriversGams!$A$5:$AN$23,MATCH(Drivers!$A13,DriversGams!$A$5:$A$23,0),MATCH(Drivers!E$3,DriversGams!$A$5:$AN$5,0))</f>
        <v>210.09</v>
      </c>
      <c r="F13" s="10">
        <f>INDEX(DriversGams!$A$5:$AN$23,MATCH(Drivers!$A13,DriversGams!$A$5:$A$23,0),MATCH(Drivers!F$3,DriversGams!$A$5:$AN$5,0))</f>
        <v>214.84</v>
      </c>
      <c r="G13" s="10">
        <f>INDEX(DriversGams!$A$5:$AN$23,MATCH(Drivers!$A13,DriversGams!$A$5:$A$23,0),MATCH(Drivers!G$3,DriversGams!$A$5:$AN$5,0))</f>
        <v>210.99</v>
      </c>
      <c r="H13" s="10">
        <f>INDEX(DriversGams!$A$5:$AN$23,MATCH(Drivers!$A13,DriversGams!$A$5:$A$23,0),MATCH(Drivers!H$3,DriversGams!$A$5:$AN$5,0))</f>
        <v>215.85</v>
      </c>
      <c r="I13" s="10">
        <f>INDEX(DriversGams!$A$5:$AN$23,MATCH(Drivers!$A13,DriversGams!$A$5:$A$23,0),MATCH(Drivers!I$3,DriversGams!$A$5:$AN$5,0))</f>
        <v>213.65</v>
      </c>
      <c r="J13" s="10">
        <f>INDEX(DriversGams!$A$5:$AN$23,MATCH(Drivers!$A13,DriversGams!$A$5:$A$23,0),MATCH(Drivers!J$3,DriversGams!$A$5:$AN$5,0))</f>
        <v>210.07</v>
      </c>
      <c r="K13" s="10">
        <f>INDEX(DriversGams!$A$5:$AN$23,MATCH(Drivers!$A13,DriversGams!$A$5:$A$23,0),MATCH(Drivers!K$3,DriversGams!$A$5:$AN$5,0))</f>
        <v>193.07</v>
      </c>
      <c r="L13" s="10">
        <f>INDEX(DriversGams!$A$5:$AN$23,MATCH(Drivers!$A13,DriversGams!$A$5:$A$23,0),MATCH(Drivers!L$3,DriversGams!$A$5:$AN$5,0))</f>
        <v>196.38</v>
      </c>
      <c r="M13" s="10">
        <f>INDEX(DriversGams!$A$5:$AN$23,MATCH(Drivers!$A13,DriversGams!$A$5:$A$23,0),MATCH(Drivers!M$3,DriversGams!$A$5:$AN$5,0))</f>
        <v>199.05</v>
      </c>
      <c r="N13" s="10">
        <f>INDEX(DriversGams!$A$5:$AN$23,MATCH(Drivers!$A13,DriversGams!$A$5:$A$23,0),MATCH(Drivers!N$3,DriversGams!$A$5:$AN$5,0))</f>
        <v>201.54</v>
      </c>
      <c r="O13" s="10">
        <f>INDEX(DriversGams!$A$5:$AN$23,MATCH(Drivers!$A13,DriversGams!$A$5:$A$23,0),MATCH(Drivers!O$3,DriversGams!$A$5:$AN$5,0))</f>
        <v>203.91</v>
      </c>
      <c r="P13" s="10">
        <f>INDEX(DriversGams!$A$5:$AN$23,MATCH(Drivers!$A13,DriversGams!$A$5:$A$23,0),MATCH(Drivers!P$3,DriversGams!$A$5:$AN$5,0))</f>
        <v>207.14</v>
      </c>
      <c r="Q13" s="10">
        <f>INDEX(DriversGams!$A$5:$AN$23,MATCH(Drivers!$A13,DriversGams!$A$5:$A$23,0),MATCH(Drivers!Q$3,DriversGams!$A$5:$AN$5,0))</f>
        <v>212.19</v>
      </c>
      <c r="R13" s="10">
        <f>INDEX(DriversGams!$A$5:$AN$23,MATCH(Drivers!$A13,DriversGams!$A$5:$A$23,0),MATCH(Drivers!R$3,DriversGams!$A$5:$AN$5,0))</f>
        <v>217.65</v>
      </c>
      <c r="S13" s="10">
        <f>INDEX(DriversGams!$A$5:$AN$23,MATCH(Drivers!$A13,DriversGams!$A$5:$A$23,0),MATCH(Drivers!S$3,DriversGams!$A$5:$AN$5,0))</f>
        <v>223.52</v>
      </c>
      <c r="T13" s="10">
        <f>INDEX(DriversGams!$A$5:$AN$23,MATCH(Drivers!$A13,DriversGams!$A$5:$A$23,0),MATCH(Drivers!T$3,DriversGams!$A$5:$AN$5,0))</f>
        <v>228.69</v>
      </c>
      <c r="U13" s="10">
        <f>INDEX(DriversGams!$A$5:$AN$23,MATCH(Drivers!$A13,DriversGams!$A$5:$A$23,0),MATCH(Drivers!U$3,DriversGams!$A$5:$AN$5,0))</f>
        <v>234.66</v>
      </c>
      <c r="V13" s="10">
        <f>INDEX(DriversGams!$A$5:$AN$23,MATCH(Drivers!$A13,DriversGams!$A$5:$A$23,0),MATCH(Drivers!V$3,DriversGams!$A$5:$AN$5,0))</f>
        <v>240.3</v>
      </c>
      <c r="W13" s="10">
        <f>INDEX(DriversGams!$A$5:$AN$23,MATCH(Drivers!$A13,DriversGams!$A$5:$A$23,0),MATCH(Drivers!W$3,DriversGams!$A$5:$AN$5,0))</f>
        <v>245.53</v>
      </c>
      <c r="X13" s="10">
        <f>INDEX(DriversGams!$A$5:$AN$23,MATCH(Drivers!$A13,DriversGams!$A$5:$A$23,0),MATCH(Drivers!X$3,DriversGams!$A$5:$AN$5,0))</f>
        <v>251.1</v>
      </c>
      <c r="Y13" s="10">
        <f>INDEX(DriversGams!$A$5:$AN$23,MATCH(Drivers!$A13,DriversGams!$A$5:$A$23,0),MATCH(Drivers!Y$3,DriversGams!$A$5:$AN$5,0))</f>
        <v>256.91000000000003</v>
      </c>
      <c r="Z13" s="10">
        <f>INDEX(DriversGams!$A$5:$AN$23,MATCH(Drivers!$A13,DriversGams!$A$5:$A$23,0),MATCH(Drivers!Z$3,DriversGams!$A$5:$AN$5,0))</f>
        <v>262.83</v>
      </c>
      <c r="AA13" s="10">
        <f>INDEX(DriversGams!$A$5:$AN$23,MATCH(Drivers!$A13,DriversGams!$A$5:$A$23,0),MATCH(Drivers!AA$3,DriversGams!$A$5:$AN$5,0))</f>
        <v>269.37</v>
      </c>
      <c r="AB13" s="10">
        <f>INDEX(DriversGams!$A$5:$AN$23,MATCH(Drivers!$A13,DriversGams!$A$5:$A$23,0),MATCH(Drivers!AB$3,DriversGams!$A$5:$AN$5,0))</f>
        <v>276.17</v>
      </c>
      <c r="AC13" s="10">
        <f>INDEX(DriversGams!$A$5:$AN$23,MATCH(Drivers!$A13,DriversGams!$A$5:$A$23,0),MATCH(Drivers!AC$3,DriversGams!$A$5:$AN$5,0))</f>
        <v>282.98</v>
      </c>
      <c r="AD13" s="10">
        <f>INDEX(DriversGams!$A$5:$AN$23,MATCH(Drivers!$A13,DriversGams!$A$5:$A$23,0),MATCH(Drivers!AD$3,DriversGams!$A$5:$AN$5,0))</f>
        <v>290.05</v>
      </c>
      <c r="AE13" s="10">
        <f>INDEX(DriversGams!$A$5:$AN$23,MATCH(Drivers!$A13,DriversGams!$A$5:$A$23,0),MATCH(Drivers!AE$3,DriversGams!$A$5:$AN$5,0))</f>
        <v>297.62</v>
      </c>
      <c r="AF13" s="10">
        <f>INDEX(DriversGams!$A$5:$AN$23,MATCH(Drivers!$A13,DriversGams!$A$5:$A$23,0),MATCH(Drivers!AF$3,DriversGams!$A$5:$AN$5,0))</f>
        <v>334.31</v>
      </c>
      <c r="AG13" s="10">
        <f>INDEX(DriversGams!$A$5:$AN$23,MATCH(Drivers!$A13,DriversGams!$A$5:$A$23,0),MATCH(Drivers!AG$3,DriversGams!$A$5:$AN$5,0))</f>
        <v>380</v>
      </c>
      <c r="AH13" s="126"/>
      <c r="AI13" s="126"/>
      <c r="AJ13" s="126"/>
      <c r="AK13" s="126"/>
      <c r="AL13" s="126"/>
      <c r="AM13" s="126"/>
      <c r="AO13" s="4">
        <f t="shared" si="2"/>
        <v>7</v>
      </c>
    </row>
    <row r="14" spans="1:41">
      <c r="A14" s="134" t="s">
        <v>528</v>
      </c>
      <c r="B14" s="185">
        <f t="shared" si="1"/>
        <v>8</v>
      </c>
      <c r="C14" s="10">
        <f>INDEX(DriversGams!$A$5:$AN$23,MATCH(Drivers!$A14,DriversGams!$A$5:$A$23,0),MATCH(Drivers!C$3,DriversGams!$A$5:$AN$5,0))</f>
        <v>10.11</v>
      </c>
      <c r="D14" s="10">
        <f>INDEX(DriversGams!$A$5:$AN$23,MATCH(Drivers!$A14,DriversGams!$A$5:$A$23,0),MATCH(Drivers!D$3,DriversGams!$A$5:$AN$5,0))</f>
        <v>8.43</v>
      </c>
      <c r="E14" s="10">
        <f>INDEX(DriversGams!$A$5:$AN$23,MATCH(Drivers!$A14,DriversGams!$A$5:$A$23,0),MATCH(Drivers!E$3,DriversGams!$A$5:$AN$5,0))</f>
        <v>7.26</v>
      </c>
      <c r="F14" s="10">
        <f>INDEX(DriversGams!$A$5:$AN$23,MATCH(Drivers!$A14,DriversGams!$A$5:$A$23,0),MATCH(Drivers!F$3,DriversGams!$A$5:$AN$5,0))</f>
        <v>6.85</v>
      </c>
      <c r="G14" s="10">
        <f>INDEX(DriversGams!$A$5:$AN$23,MATCH(Drivers!$A14,DriversGams!$A$5:$A$23,0),MATCH(Drivers!G$3,DriversGams!$A$5:$AN$5,0))</f>
        <v>6.43</v>
      </c>
      <c r="H14" s="10">
        <f>INDEX(DriversGams!$A$5:$AN$23,MATCH(Drivers!$A14,DriversGams!$A$5:$A$23,0),MATCH(Drivers!H$3,DriversGams!$A$5:$AN$5,0))</f>
        <v>5.96</v>
      </c>
      <c r="I14" s="10">
        <f>INDEX(DriversGams!$A$5:$AN$23,MATCH(Drivers!$A14,DriversGams!$A$5:$A$23,0),MATCH(Drivers!I$3,DriversGams!$A$5:$AN$5,0))</f>
        <v>5.84</v>
      </c>
      <c r="J14" s="10">
        <f>INDEX(DriversGams!$A$5:$AN$23,MATCH(Drivers!$A14,DriversGams!$A$5:$A$23,0),MATCH(Drivers!J$3,DriversGams!$A$5:$AN$5,0))</f>
        <v>5.52</v>
      </c>
      <c r="K14" s="10">
        <f>INDEX(DriversGams!$A$5:$AN$23,MATCH(Drivers!$A14,DriversGams!$A$5:$A$23,0),MATCH(Drivers!K$3,DriversGams!$A$5:$AN$5,0))</f>
        <v>4.53</v>
      </c>
      <c r="L14" s="10">
        <f>INDEX(DriversGams!$A$5:$AN$23,MATCH(Drivers!$A14,DriversGams!$A$5:$A$23,0),MATCH(Drivers!L$3,DriversGams!$A$5:$AN$5,0))</f>
        <v>4.6900000000000004</v>
      </c>
      <c r="M14" s="10">
        <f>INDEX(DriversGams!$A$5:$AN$23,MATCH(Drivers!$A14,DriversGams!$A$5:$A$23,0),MATCH(Drivers!M$3,DriversGams!$A$5:$AN$5,0))</f>
        <v>4.71</v>
      </c>
      <c r="N14" s="10">
        <f>INDEX(DriversGams!$A$5:$AN$23,MATCH(Drivers!$A14,DriversGams!$A$5:$A$23,0),MATCH(Drivers!N$3,DriversGams!$A$5:$AN$5,0))</f>
        <v>4.74</v>
      </c>
      <c r="O14" s="10">
        <f>INDEX(DriversGams!$A$5:$AN$23,MATCH(Drivers!$A14,DriversGams!$A$5:$A$23,0),MATCH(Drivers!O$3,DriversGams!$A$5:$AN$5,0))</f>
        <v>4.7699999999999996</v>
      </c>
      <c r="P14" s="10">
        <f>INDEX(DriversGams!$A$5:$AN$23,MATCH(Drivers!$A14,DriversGams!$A$5:$A$23,0),MATCH(Drivers!P$3,DriversGams!$A$5:$AN$5,0))</f>
        <v>4.84</v>
      </c>
      <c r="Q14" s="10">
        <f>INDEX(DriversGams!$A$5:$AN$23,MATCH(Drivers!$A14,DriversGams!$A$5:$A$23,0),MATCH(Drivers!Q$3,DriversGams!$A$5:$AN$5,0))</f>
        <v>5.01</v>
      </c>
      <c r="R14" s="10">
        <f>INDEX(DriversGams!$A$5:$AN$23,MATCH(Drivers!$A14,DriversGams!$A$5:$A$23,0),MATCH(Drivers!R$3,DriversGams!$A$5:$AN$5,0))</f>
        <v>5.21</v>
      </c>
      <c r="S14" s="10">
        <f>INDEX(DriversGams!$A$5:$AN$23,MATCH(Drivers!$A14,DriversGams!$A$5:$A$23,0),MATCH(Drivers!S$3,DriversGams!$A$5:$AN$5,0))</f>
        <v>5.45</v>
      </c>
      <c r="T14" s="10">
        <f>INDEX(DriversGams!$A$5:$AN$23,MATCH(Drivers!$A14,DriversGams!$A$5:$A$23,0),MATCH(Drivers!T$3,DriversGams!$A$5:$AN$5,0))</f>
        <v>5.64</v>
      </c>
      <c r="U14" s="10">
        <f>INDEX(DriversGams!$A$5:$AN$23,MATCH(Drivers!$A14,DriversGams!$A$5:$A$23,0),MATCH(Drivers!U$3,DriversGams!$A$5:$AN$5,0))</f>
        <v>5.88</v>
      </c>
      <c r="V14" s="10">
        <f>INDEX(DriversGams!$A$5:$AN$23,MATCH(Drivers!$A14,DriversGams!$A$5:$A$23,0),MATCH(Drivers!V$3,DriversGams!$A$5:$AN$5,0))</f>
        <v>6.08</v>
      </c>
      <c r="W14" s="10">
        <f>INDEX(DriversGams!$A$5:$AN$23,MATCH(Drivers!$A14,DriversGams!$A$5:$A$23,0),MATCH(Drivers!W$3,DriversGams!$A$5:$AN$5,0))</f>
        <v>6.21</v>
      </c>
      <c r="X14" s="10">
        <f>INDEX(DriversGams!$A$5:$AN$23,MATCH(Drivers!$A14,DriversGams!$A$5:$A$23,0),MATCH(Drivers!X$3,DriversGams!$A$5:$AN$5,0))</f>
        <v>6.36</v>
      </c>
      <c r="Y14" s="10">
        <f>INDEX(DriversGams!$A$5:$AN$23,MATCH(Drivers!$A14,DriversGams!$A$5:$A$23,0),MATCH(Drivers!Y$3,DriversGams!$A$5:$AN$5,0))</f>
        <v>6.52</v>
      </c>
      <c r="Z14" s="10">
        <f>INDEX(DriversGams!$A$5:$AN$23,MATCH(Drivers!$A14,DriversGams!$A$5:$A$23,0),MATCH(Drivers!Z$3,DriversGams!$A$5:$AN$5,0))</f>
        <v>6.66</v>
      </c>
      <c r="AA14" s="10">
        <f>INDEX(DriversGams!$A$5:$AN$23,MATCH(Drivers!$A14,DriversGams!$A$5:$A$23,0),MATCH(Drivers!AA$3,DriversGams!$A$5:$AN$5,0))</f>
        <v>6.83</v>
      </c>
      <c r="AB14" s="10">
        <f>INDEX(DriversGams!$A$5:$AN$23,MATCH(Drivers!$A14,DriversGams!$A$5:$A$23,0),MATCH(Drivers!AB$3,DriversGams!$A$5:$AN$5,0))</f>
        <v>7</v>
      </c>
      <c r="AC14" s="10">
        <f>INDEX(DriversGams!$A$5:$AN$23,MATCH(Drivers!$A14,DriversGams!$A$5:$A$23,0),MATCH(Drivers!AC$3,DriversGams!$A$5:$AN$5,0))</f>
        <v>7.17</v>
      </c>
      <c r="AD14" s="10">
        <f>INDEX(DriversGams!$A$5:$AN$23,MATCH(Drivers!$A14,DriversGams!$A$5:$A$23,0),MATCH(Drivers!AD$3,DriversGams!$A$5:$AN$5,0))</f>
        <v>7.34</v>
      </c>
      <c r="AE14" s="10">
        <f>INDEX(DriversGams!$A$5:$AN$23,MATCH(Drivers!$A14,DriversGams!$A$5:$A$23,0),MATCH(Drivers!AE$3,DriversGams!$A$5:$AN$5,0))</f>
        <v>7.52</v>
      </c>
      <c r="AF14" s="10">
        <f>INDEX(DriversGams!$A$5:$AN$23,MATCH(Drivers!$A14,DriversGams!$A$5:$A$23,0),MATCH(Drivers!AF$3,DriversGams!$A$5:$AN$5,0))</f>
        <v>8.08</v>
      </c>
      <c r="AG14" s="10">
        <f>INDEX(DriversGams!$A$5:$AN$23,MATCH(Drivers!$A14,DriversGams!$A$5:$A$23,0),MATCH(Drivers!AG$3,DriversGams!$A$5:$AN$5,0))</f>
        <v>8.82</v>
      </c>
      <c r="AH14" s="126"/>
      <c r="AI14" s="126"/>
      <c r="AJ14" s="126"/>
      <c r="AK14" s="126"/>
      <c r="AL14" s="126"/>
      <c r="AM14" s="126"/>
      <c r="AO14" s="4">
        <f t="shared" si="2"/>
        <v>8</v>
      </c>
    </row>
    <row r="15" spans="1:41">
      <c r="A15" s="134" t="s">
        <v>527</v>
      </c>
      <c r="B15" s="185">
        <f t="shared" si="1"/>
        <v>9</v>
      </c>
      <c r="C15" s="10">
        <f>INDEX(DriversGams!$A$5:$AN$23,MATCH(Drivers!$A15,DriversGams!$A$5:$A$23,0),MATCH(Drivers!C$3,DriversGams!$A$5:$AN$5,0))</f>
        <v>14.11</v>
      </c>
      <c r="D15" s="10">
        <f>INDEX(DriversGams!$A$5:$AN$23,MATCH(Drivers!$A15,DriversGams!$A$5:$A$23,0),MATCH(Drivers!D$3,DriversGams!$A$5:$AN$5,0))</f>
        <v>14.52</v>
      </c>
      <c r="E15" s="10">
        <f>INDEX(DriversGams!$A$5:$AN$23,MATCH(Drivers!$A15,DriversGams!$A$5:$A$23,0),MATCH(Drivers!E$3,DriversGams!$A$5:$AN$5,0))</f>
        <v>14.79</v>
      </c>
      <c r="F15" s="10">
        <f>INDEX(DriversGams!$A$5:$AN$23,MATCH(Drivers!$A15,DriversGams!$A$5:$A$23,0),MATCH(Drivers!F$3,DriversGams!$A$5:$AN$5,0))</f>
        <v>15.03</v>
      </c>
      <c r="G15" s="10">
        <f>INDEX(DriversGams!$A$5:$AN$23,MATCH(Drivers!$A15,DriversGams!$A$5:$A$23,0),MATCH(Drivers!G$3,DriversGams!$A$5:$AN$5,0))</f>
        <v>15.21</v>
      </c>
      <c r="H15" s="10">
        <f>INDEX(DriversGams!$A$5:$AN$23,MATCH(Drivers!$A15,DriversGams!$A$5:$A$23,0),MATCH(Drivers!H$3,DriversGams!$A$5:$AN$5,0))</f>
        <v>15.35</v>
      </c>
      <c r="I15" s="10">
        <f>INDEX(DriversGams!$A$5:$AN$23,MATCH(Drivers!$A15,DriversGams!$A$5:$A$23,0),MATCH(Drivers!I$3,DriversGams!$A$5:$AN$5,0))</f>
        <v>15.51</v>
      </c>
      <c r="J15" s="10">
        <f>INDEX(DriversGams!$A$5:$AN$23,MATCH(Drivers!$A15,DriversGams!$A$5:$A$23,0),MATCH(Drivers!J$3,DriversGams!$A$5:$AN$5,0))</f>
        <v>15.54</v>
      </c>
      <c r="K15" s="10">
        <f>INDEX(DriversGams!$A$5:$AN$23,MATCH(Drivers!$A15,DriversGams!$A$5:$A$23,0),MATCH(Drivers!K$3,DriversGams!$A$5:$AN$5,0))</f>
        <v>14.21</v>
      </c>
      <c r="L15" s="10">
        <f>INDEX(DriversGams!$A$5:$AN$23,MATCH(Drivers!$A15,DriversGams!$A$5:$A$23,0),MATCH(Drivers!L$3,DriversGams!$A$5:$AN$5,0))</f>
        <v>14.6</v>
      </c>
      <c r="M15" s="10">
        <f>INDEX(DriversGams!$A$5:$AN$23,MATCH(Drivers!$A15,DriversGams!$A$5:$A$23,0),MATCH(Drivers!M$3,DriversGams!$A$5:$AN$5,0))</f>
        <v>14.95</v>
      </c>
      <c r="N15" s="10">
        <f>INDEX(DriversGams!$A$5:$AN$23,MATCH(Drivers!$A15,DriversGams!$A$5:$A$23,0),MATCH(Drivers!N$3,DriversGams!$A$5:$AN$5,0))</f>
        <v>15.3</v>
      </c>
      <c r="O15" s="10">
        <f>INDEX(DriversGams!$A$5:$AN$23,MATCH(Drivers!$A15,DriversGams!$A$5:$A$23,0),MATCH(Drivers!O$3,DriversGams!$A$5:$AN$5,0))</f>
        <v>15.64</v>
      </c>
      <c r="P15" s="10">
        <f>INDEX(DriversGams!$A$5:$AN$23,MATCH(Drivers!$A15,DriversGams!$A$5:$A$23,0),MATCH(Drivers!P$3,DriversGams!$A$5:$AN$5,0))</f>
        <v>16</v>
      </c>
      <c r="Q15" s="10">
        <f>INDEX(DriversGams!$A$5:$AN$23,MATCH(Drivers!$A15,DriversGams!$A$5:$A$23,0),MATCH(Drivers!Q$3,DriversGams!$A$5:$AN$5,0))</f>
        <v>16.440000000000001</v>
      </c>
      <c r="R15" s="10">
        <f>INDEX(DriversGams!$A$5:$AN$23,MATCH(Drivers!$A15,DriversGams!$A$5:$A$23,0),MATCH(Drivers!R$3,DriversGams!$A$5:$AN$5,0))</f>
        <v>16.88</v>
      </c>
      <c r="S15" s="10">
        <f>INDEX(DriversGams!$A$5:$AN$23,MATCH(Drivers!$A15,DriversGams!$A$5:$A$23,0),MATCH(Drivers!S$3,DriversGams!$A$5:$AN$5,0))</f>
        <v>17.34</v>
      </c>
      <c r="T15" s="10">
        <f>INDEX(DriversGams!$A$5:$AN$23,MATCH(Drivers!$A15,DriversGams!$A$5:$A$23,0),MATCH(Drivers!T$3,DriversGams!$A$5:$AN$5,0))</f>
        <v>17.8</v>
      </c>
      <c r="U15" s="10">
        <f>INDEX(DriversGams!$A$5:$AN$23,MATCH(Drivers!$A15,DriversGams!$A$5:$A$23,0),MATCH(Drivers!U$3,DriversGams!$A$5:$AN$5,0))</f>
        <v>18.27</v>
      </c>
      <c r="V15" s="10">
        <f>INDEX(DriversGams!$A$5:$AN$23,MATCH(Drivers!$A15,DriversGams!$A$5:$A$23,0),MATCH(Drivers!V$3,DriversGams!$A$5:$AN$5,0))</f>
        <v>18.809999999999999</v>
      </c>
      <c r="W15" s="10">
        <f>INDEX(DriversGams!$A$5:$AN$23,MATCH(Drivers!$A15,DriversGams!$A$5:$A$23,0),MATCH(Drivers!W$3,DriversGams!$A$5:$AN$5,0))</f>
        <v>19.32</v>
      </c>
      <c r="X15" s="10">
        <f>INDEX(DriversGams!$A$5:$AN$23,MATCH(Drivers!$A15,DriversGams!$A$5:$A$23,0),MATCH(Drivers!X$3,DriversGams!$A$5:$AN$5,0))</f>
        <v>19.88</v>
      </c>
      <c r="Y15" s="10">
        <f>INDEX(DriversGams!$A$5:$AN$23,MATCH(Drivers!$A15,DriversGams!$A$5:$A$23,0),MATCH(Drivers!Y$3,DriversGams!$A$5:$AN$5,0))</f>
        <v>20.49</v>
      </c>
      <c r="Z15" s="10">
        <f>INDEX(DriversGams!$A$5:$AN$23,MATCH(Drivers!$A15,DriversGams!$A$5:$A$23,0),MATCH(Drivers!Z$3,DriversGams!$A$5:$AN$5,0))</f>
        <v>21.14</v>
      </c>
      <c r="AA15" s="10">
        <f>INDEX(DriversGams!$A$5:$AN$23,MATCH(Drivers!$A15,DriversGams!$A$5:$A$23,0),MATCH(Drivers!AA$3,DriversGams!$A$5:$AN$5,0))</f>
        <v>21.81</v>
      </c>
      <c r="AB15" s="10">
        <f>INDEX(DriversGams!$A$5:$AN$23,MATCH(Drivers!$A15,DriversGams!$A$5:$A$23,0),MATCH(Drivers!AB$3,DriversGams!$A$5:$AN$5,0))</f>
        <v>22.5</v>
      </c>
      <c r="AC15" s="10">
        <f>INDEX(DriversGams!$A$5:$AN$23,MATCH(Drivers!$A15,DriversGams!$A$5:$A$23,0),MATCH(Drivers!AC$3,DriversGams!$A$5:$AN$5,0))</f>
        <v>23.19</v>
      </c>
      <c r="AD15" s="10">
        <f>INDEX(DriversGams!$A$5:$AN$23,MATCH(Drivers!$A15,DriversGams!$A$5:$A$23,0),MATCH(Drivers!AD$3,DriversGams!$A$5:$AN$5,0))</f>
        <v>23.92</v>
      </c>
      <c r="AE15" s="10">
        <f>INDEX(DriversGams!$A$5:$AN$23,MATCH(Drivers!$A15,DriversGams!$A$5:$A$23,0),MATCH(Drivers!AE$3,DriversGams!$A$5:$AN$5,0))</f>
        <v>24.68</v>
      </c>
      <c r="AF15" s="10">
        <f>INDEX(DriversGams!$A$5:$AN$23,MATCH(Drivers!$A15,DriversGams!$A$5:$A$23,0),MATCH(Drivers!AF$3,DriversGams!$A$5:$AN$5,0))</f>
        <v>28.99</v>
      </c>
      <c r="AG15" s="10">
        <f>INDEX(DriversGams!$A$5:$AN$23,MATCH(Drivers!$A15,DriversGams!$A$5:$A$23,0),MATCH(Drivers!AG$3,DriversGams!$A$5:$AN$5,0))</f>
        <v>34.44</v>
      </c>
      <c r="AH15" s="126"/>
      <c r="AI15" s="126"/>
      <c r="AJ15" s="126"/>
      <c r="AK15" s="126"/>
      <c r="AL15" s="126"/>
      <c r="AM15" s="126"/>
      <c r="AO15" s="4">
        <f t="shared" si="2"/>
        <v>9</v>
      </c>
    </row>
    <row r="16" spans="1:41">
      <c r="A16" s="134" t="s">
        <v>524</v>
      </c>
      <c r="B16" s="185">
        <f t="shared" si="1"/>
        <v>10</v>
      </c>
      <c r="C16" s="10">
        <f>INDEX(DriversGams!$A$5:$AN$23,MATCH(Drivers!$A16,DriversGams!$A$5:$A$23,0),MATCH(Drivers!C$3,DriversGams!$A$5:$AN$5,0))</f>
        <v>235.5</v>
      </c>
      <c r="D16" s="10">
        <f>INDEX(DriversGams!$A$5:$AN$23,MATCH(Drivers!$A16,DriversGams!$A$5:$A$23,0),MATCH(Drivers!D$3,DriversGams!$A$5:$AN$5,0))</f>
        <v>241.63</v>
      </c>
      <c r="E16" s="10">
        <f>INDEX(DriversGams!$A$5:$AN$23,MATCH(Drivers!$A16,DriversGams!$A$5:$A$23,0),MATCH(Drivers!E$3,DriversGams!$A$5:$AN$5,0))</f>
        <v>245.65</v>
      </c>
      <c r="F16" s="10">
        <f>INDEX(DriversGams!$A$5:$AN$23,MATCH(Drivers!$A16,DriversGams!$A$5:$A$23,0),MATCH(Drivers!F$3,DriversGams!$A$5:$AN$5,0))</f>
        <v>248.47</v>
      </c>
      <c r="G16" s="10">
        <f>INDEX(DriversGams!$A$5:$AN$23,MATCH(Drivers!$A16,DriversGams!$A$5:$A$23,0),MATCH(Drivers!G$3,DriversGams!$A$5:$AN$5,0))</f>
        <v>251.07</v>
      </c>
      <c r="H16" s="10">
        <f>INDEX(DriversGams!$A$5:$AN$23,MATCH(Drivers!$A16,DriversGams!$A$5:$A$23,0),MATCH(Drivers!H$3,DriversGams!$A$5:$AN$5,0))</f>
        <v>252.54</v>
      </c>
      <c r="I16" s="10">
        <f>INDEX(DriversGams!$A$5:$AN$23,MATCH(Drivers!$A16,DriversGams!$A$5:$A$23,0),MATCH(Drivers!I$3,DriversGams!$A$5:$AN$5,0))</f>
        <v>254.74</v>
      </c>
      <c r="J16" s="10">
        <f>INDEX(DriversGams!$A$5:$AN$23,MATCH(Drivers!$A16,DriversGams!$A$5:$A$23,0),MATCH(Drivers!J$3,DriversGams!$A$5:$AN$5,0))</f>
        <v>254.67</v>
      </c>
      <c r="K16" s="10">
        <f>INDEX(DriversGams!$A$5:$AN$23,MATCH(Drivers!$A16,DriversGams!$A$5:$A$23,0),MATCH(Drivers!K$3,DriversGams!$A$5:$AN$5,0))</f>
        <v>230.24</v>
      </c>
      <c r="L16" s="10">
        <f>INDEX(DriversGams!$A$5:$AN$23,MATCH(Drivers!$A16,DriversGams!$A$5:$A$23,0),MATCH(Drivers!L$3,DriversGams!$A$5:$AN$5,0))</f>
        <v>236.69</v>
      </c>
      <c r="M16" s="10">
        <f>INDEX(DriversGams!$A$5:$AN$23,MATCH(Drivers!$A16,DriversGams!$A$5:$A$23,0),MATCH(Drivers!M$3,DriversGams!$A$5:$AN$5,0))</f>
        <v>242.59</v>
      </c>
      <c r="N16" s="10">
        <f>INDEX(DriversGams!$A$5:$AN$23,MATCH(Drivers!$A16,DriversGams!$A$5:$A$23,0),MATCH(Drivers!N$3,DriversGams!$A$5:$AN$5,0))</f>
        <v>248.33</v>
      </c>
      <c r="O16" s="10">
        <f>INDEX(DriversGams!$A$5:$AN$23,MATCH(Drivers!$A16,DriversGams!$A$5:$A$23,0),MATCH(Drivers!O$3,DriversGams!$A$5:$AN$5,0))</f>
        <v>253.83</v>
      </c>
      <c r="P16" s="10">
        <f>INDEX(DriversGams!$A$5:$AN$23,MATCH(Drivers!$A16,DriversGams!$A$5:$A$23,0),MATCH(Drivers!P$3,DriversGams!$A$5:$AN$5,0))</f>
        <v>259.61</v>
      </c>
      <c r="Q16" s="10">
        <f>INDEX(DriversGams!$A$5:$AN$23,MATCH(Drivers!$A16,DriversGams!$A$5:$A$23,0),MATCH(Drivers!Q$3,DriversGams!$A$5:$AN$5,0))</f>
        <v>266.92</v>
      </c>
      <c r="R16" s="10">
        <f>INDEX(DriversGams!$A$5:$AN$23,MATCH(Drivers!$A16,DriversGams!$A$5:$A$23,0),MATCH(Drivers!R$3,DriversGams!$A$5:$AN$5,0))</f>
        <v>274.13</v>
      </c>
      <c r="S16" s="10">
        <f>INDEX(DriversGams!$A$5:$AN$23,MATCH(Drivers!$A16,DriversGams!$A$5:$A$23,0),MATCH(Drivers!S$3,DriversGams!$A$5:$AN$5,0))</f>
        <v>281.63</v>
      </c>
      <c r="T16" s="10">
        <f>INDEX(DriversGams!$A$5:$AN$23,MATCH(Drivers!$A16,DriversGams!$A$5:$A$23,0),MATCH(Drivers!T$3,DriversGams!$A$5:$AN$5,0))</f>
        <v>289.23</v>
      </c>
      <c r="U16" s="10">
        <f>INDEX(DriversGams!$A$5:$AN$23,MATCH(Drivers!$A16,DriversGams!$A$5:$A$23,0),MATCH(Drivers!U$3,DriversGams!$A$5:$AN$5,0))</f>
        <v>297.02</v>
      </c>
      <c r="V16" s="10">
        <f>INDEX(DriversGams!$A$5:$AN$23,MATCH(Drivers!$A16,DriversGams!$A$5:$A$23,0),MATCH(Drivers!V$3,DriversGams!$A$5:$AN$5,0))</f>
        <v>305.64</v>
      </c>
      <c r="W16" s="10">
        <f>INDEX(DriversGams!$A$5:$AN$23,MATCH(Drivers!$A16,DriversGams!$A$5:$A$23,0),MATCH(Drivers!W$3,DriversGams!$A$5:$AN$5,0))</f>
        <v>313.91000000000003</v>
      </c>
      <c r="X16" s="10">
        <f>INDEX(DriversGams!$A$5:$AN$23,MATCH(Drivers!$A16,DriversGams!$A$5:$A$23,0),MATCH(Drivers!X$3,DriversGams!$A$5:$AN$5,0))</f>
        <v>323.06</v>
      </c>
      <c r="Y16" s="10">
        <f>INDEX(DriversGams!$A$5:$AN$23,MATCH(Drivers!$A16,DriversGams!$A$5:$A$23,0),MATCH(Drivers!Y$3,DriversGams!$A$5:$AN$5,0))</f>
        <v>332.87</v>
      </c>
      <c r="Z16" s="10">
        <f>INDEX(DriversGams!$A$5:$AN$23,MATCH(Drivers!$A16,DriversGams!$A$5:$A$23,0),MATCH(Drivers!Z$3,DriversGams!$A$5:$AN$5,0))</f>
        <v>343.27</v>
      </c>
      <c r="AA16" s="10">
        <f>INDEX(DriversGams!$A$5:$AN$23,MATCH(Drivers!$A16,DriversGams!$A$5:$A$23,0),MATCH(Drivers!AA$3,DriversGams!$A$5:$AN$5,0))</f>
        <v>354.09</v>
      </c>
      <c r="AB16" s="10">
        <f>INDEX(DriversGams!$A$5:$AN$23,MATCH(Drivers!$A16,DriversGams!$A$5:$A$23,0),MATCH(Drivers!AB$3,DriversGams!$A$5:$AN$5,0))</f>
        <v>365.3</v>
      </c>
      <c r="AC16" s="10">
        <f>INDEX(DriversGams!$A$5:$AN$23,MATCH(Drivers!$A16,DriversGams!$A$5:$A$23,0),MATCH(Drivers!AC$3,DriversGams!$A$5:$AN$5,0))</f>
        <v>376.62</v>
      </c>
      <c r="AD16" s="10">
        <f>INDEX(DriversGams!$A$5:$AN$23,MATCH(Drivers!$A16,DriversGams!$A$5:$A$23,0),MATCH(Drivers!AD$3,DriversGams!$A$5:$AN$5,0))</f>
        <v>388.36</v>
      </c>
      <c r="AE16" s="10">
        <f>INDEX(DriversGams!$A$5:$AN$23,MATCH(Drivers!$A16,DriversGams!$A$5:$A$23,0),MATCH(Drivers!AE$3,DriversGams!$A$5:$AN$5,0))</f>
        <v>400.79</v>
      </c>
      <c r="AF16" s="10">
        <f>INDEX(DriversGams!$A$5:$AN$23,MATCH(Drivers!$A16,DriversGams!$A$5:$A$23,0),MATCH(Drivers!AF$3,DriversGams!$A$5:$AN$5,0))</f>
        <v>469.74</v>
      </c>
      <c r="AG16" s="10">
        <f>INDEX(DriversGams!$A$5:$AN$23,MATCH(Drivers!$A16,DriversGams!$A$5:$A$23,0),MATCH(Drivers!AG$3,DriversGams!$A$5:$AN$5,0))</f>
        <v>556.72</v>
      </c>
      <c r="AH16" s="126"/>
      <c r="AI16" s="126"/>
      <c r="AJ16" s="126"/>
      <c r="AK16" s="126"/>
      <c r="AL16" s="126"/>
      <c r="AM16" s="126"/>
      <c r="AO16" s="4">
        <f t="shared" si="2"/>
        <v>10</v>
      </c>
    </row>
    <row r="17" spans="1:41">
      <c r="A17" s="134" t="s">
        <v>530</v>
      </c>
      <c r="B17" s="185">
        <f t="shared" si="1"/>
        <v>11</v>
      </c>
      <c r="C17" s="10">
        <f>INDEX(DriversGams!$A$5:$AN$23,MATCH(Drivers!$A17,DriversGams!$A$5:$A$23,0),MATCH(Drivers!C$3,DriversGams!$A$5:$AN$5,0))</f>
        <v>27.52</v>
      </c>
      <c r="D17" s="10">
        <f>INDEX(DriversGams!$A$5:$AN$23,MATCH(Drivers!$A17,DriversGams!$A$5:$A$23,0),MATCH(Drivers!D$3,DriversGams!$A$5:$AN$5,0))</f>
        <v>27.49</v>
      </c>
      <c r="E17" s="10">
        <f>INDEX(DriversGams!$A$5:$AN$23,MATCH(Drivers!$A17,DriversGams!$A$5:$A$23,0),MATCH(Drivers!E$3,DriversGams!$A$5:$AN$5,0))</f>
        <v>27.45</v>
      </c>
      <c r="F17" s="10">
        <f>INDEX(DriversGams!$A$5:$AN$23,MATCH(Drivers!$A17,DriversGams!$A$5:$A$23,0),MATCH(Drivers!F$3,DriversGams!$A$5:$AN$5,0))</f>
        <v>27.42</v>
      </c>
      <c r="G17" s="10">
        <f>INDEX(DriversGams!$A$5:$AN$23,MATCH(Drivers!$A17,DriversGams!$A$5:$A$23,0),MATCH(Drivers!G$3,DriversGams!$A$5:$AN$5,0))</f>
        <v>27.39</v>
      </c>
      <c r="H17" s="10">
        <f>INDEX(DriversGams!$A$5:$AN$23,MATCH(Drivers!$A17,DriversGams!$A$5:$A$23,0),MATCH(Drivers!H$3,DriversGams!$A$5:$AN$5,0))</f>
        <v>27.36</v>
      </c>
      <c r="I17" s="10">
        <f>INDEX(DriversGams!$A$5:$AN$23,MATCH(Drivers!$A17,DriversGams!$A$5:$A$23,0),MATCH(Drivers!I$3,DriversGams!$A$5:$AN$5,0))</f>
        <v>27.33</v>
      </c>
      <c r="J17" s="10">
        <f>INDEX(DriversGams!$A$5:$AN$23,MATCH(Drivers!$A17,DriversGams!$A$5:$A$23,0),MATCH(Drivers!J$3,DriversGams!$A$5:$AN$5,0))</f>
        <v>27.24</v>
      </c>
      <c r="K17" s="10">
        <f>INDEX(DriversGams!$A$5:$AN$23,MATCH(Drivers!$A17,DriversGams!$A$5:$A$23,0),MATCH(Drivers!K$3,DriversGams!$A$5:$AN$5,0))</f>
        <v>27.16</v>
      </c>
      <c r="L17" s="10">
        <f>INDEX(DriversGams!$A$5:$AN$23,MATCH(Drivers!$A17,DriversGams!$A$5:$A$23,0),MATCH(Drivers!L$3,DriversGams!$A$5:$AN$5,0))</f>
        <v>26.07</v>
      </c>
      <c r="M17" s="10">
        <f>INDEX(DriversGams!$A$5:$AN$23,MATCH(Drivers!$A17,DriversGams!$A$5:$A$23,0),MATCH(Drivers!M$3,DriversGams!$A$5:$AN$5,0))</f>
        <v>25.79</v>
      </c>
      <c r="N17" s="10">
        <f>INDEX(DriversGams!$A$5:$AN$23,MATCH(Drivers!$A17,DriversGams!$A$5:$A$23,0),MATCH(Drivers!N$3,DriversGams!$A$5:$AN$5,0))</f>
        <v>25.7</v>
      </c>
      <c r="O17" s="10">
        <f>INDEX(DriversGams!$A$5:$AN$23,MATCH(Drivers!$A17,DriversGams!$A$5:$A$23,0),MATCH(Drivers!O$3,DriversGams!$A$5:$AN$5,0))</f>
        <v>25.62</v>
      </c>
      <c r="P17" s="10">
        <f>INDEX(DriversGams!$A$5:$AN$23,MATCH(Drivers!$A17,DriversGams!$A$5:$A$23,0),MATCH(Drivers!P$3,DriversGams!$A$5:$AN$5,0))</f>
        <v>24.83</v>
      </c>
      <c r="Q17" s="10">
        <f>INDEX(DriversGams!$A$5:$AN$23,MATCH(Drivers!$A17,DriversGams!$A$5:$A$23,0),MATCH(Drivers!Q$3,DriversGams!$A$5:$AN$5,0))</f>
        <v>22.54</v>
      </c>
      <c r="R17" s="10">
        <f>INDEX(DriversGams!$A$5:$AN$23,MATCH(Drivers!$A17,DriversGams!$A$5:$A$23,0),MATCH(Drivers!R$3,DriversGams!$A$5:$AN$5,0))</f>
        <v>20.239999999999998</v>
      </c>
      <c r="S17" s="10">
        <f>INDEX(DriversGams!$A$5:$AN$23,MATCH(Drivers!$A17,DriversGams!$A$5:$A$23,0),MATCH(Drivers!S$3,DriversGams!$A$5:$AN$5,0))</f>
        <v>17.95</v>
      </c>
      <c r="T17" s="10">
        <f>INDEX(DriversGams!$A$5:$AN$23,MATCH(Drivers!$A17,DriversGams!$A$5:$A$23,0),MATCH(Drivers!T$3,DriversGams!$A$5:$AN$5,0))</f>
        <v>15.66</v>
      </c>
      <c r="U17" s="10">
        <f>INDEX(DriversGams!$A$5:$AN$23,MATCH(Drivers!$A17,DriversGams!$A$5:$A$23,0),MATCH(Drivers!U$3,DriversGams!$A$5:$AN$5,0))</f>
        <v>13.37</v>
      </c>
      <c r="V17" s="10">
        <f>INDEX(DriversGams!$A$5:$AN$23,MATCH(Drivers!$A17,DriversGams!$A$5:$A$23,0),MATCH(Drivers!V$3,DriversGams!$A$5:$AN$5,0))</f>
        <v>12.37</v>
      </c>
      <c r="W17" s="10">
        <f>INDEX(DriversGams!$A$5:$AN$23,MATCH(Drivers!$A17,DriversGams!$A$5:$A$23,0),MATCH(Drivers!W$3,DriversGams!$A$5:$AN$5,0))</f>
        <v>11.37</v>
      </c>
      <c r="X17" s="10">
        <f>INDEX(DriversGams!$A$5:$AN$23,MATCH(Drivers!$A17,DriversGams!$A$5:$A$23,0),MATCH(Drivers!X$3,DriversGams!$A$5:$AN$5,0))</f>
        <v>10.37</v>
      </c>
      <c r="Y17" s="10">
        <f>INDEX(DriversGams!$A$5:$AN$23,MATCH(Drivers!$A17,DriversGams!$A$5:$A$23,0),MATCH(Drivers!Y$3,DriversGams!$A$5:$AN$5,0))</f>
        <v>9.3699999999999992</v>
      </c>
      <c r="Z17" s="10">
        <f>INDEX(DriversGams!$A$5:$AN$23,MATCH(Drivers!$A17,DriversGams!$A$5:$A$23,0),MATCH(Drivers!Z$3,DriversGams!$A$5:$AN$5,0))</f>
        <v>8.41</v>
      </c>
      <c r="AA17" s="10">
        <f>INDEX(DriversGams!$A$5:$AN$23,MATCH(Drivers!$A17,DriversGams!$A$5:$A$23,0),MATCH(Drivers!AA$3,DriversGams!$A$5:$AN$5,0))</f>
        <v>7.24</v>
      </c>
      <c r="AB17" s="10">
        <f>INDEX(DriversGams!$A$5:$AN$23,MATCH(Drivers!$A17,DriversGams!$A$5:$A$23,0),MATCH(Drivers!AB$3,DriversGams!$A$5:$AN$5,0))</f>
        <v>6.06</v>
      </c>
      <c r="AC17" s="10">
        <f>INDEX(DriversGams!$A$5:$AN$23,MATCH(Drivers!$A17,DriversGams!$A$5:$A$23,0),MATCH(Drivers!AC$3,DriversGams!$A$5:$AN$5,0))</f>
        <v>4.88</v>
      </c>
      <c r="AD17" s="10">
        <f>INDEX(DriversGams!$A$5:$AN$23,MATCH(Drivers!$A17,DriversGams!$A$5:$A$23,0),MATCH(Drivers!AD$3,DriversGams!$A$5:$AN$5,0))</f>
        <v>3.7</v>
      </c>
      <c r="AE17" s="10">
        <f>INDEX(DriversGams!$A$5:$AN$23,MATCH(Drivers!$A17,DriversGams!$A$5:$A$23,0),MATCH(Drivers!AE$3,DriversGams!$A$5:$AN$5,0))</f>
        <v>2.52</v>
      </c>
      <c r="AF17" s="10">
        <f>INDEX(DriversGams!$A$5:$AN$23,MATCH(Drivers!$A17,DriversGams!$A$5:$A$23,0),MATCH(Drivers!AF$3,DriversGams!$A$5:$AN$5,0))</f>
        <v>2.52</v>
      </c>
      <c r="AG17" s="10">
        <f>INDEX(DriversGams!$A$5:$AN$23,MATCH(Drivers!$A17,DriversGams!$A$5:$A$23,0),MATCH(Drivers!AG$3,DriversGams!$A$5:$AN$5,0))</f>
        <v>2.52</v>
      </c>
      <c r="AH17" s="126"/>
      <c r="AI17" s="126"/>
      <c r="AJ17" s="126"/>
      <c r="AK17" s="126"/>
      <c r="AL17" s="126"/>
      <c r="AM17" s="126"/>
      <c r="AO17" s="4">
        <f t="shared" si="2"/>
        <v>11</v>
      </c>
    </row>
    <row r="18" spans="1:41" s="185" customFormat="1">
      <c r="A18" s="134" t="s">
        <v>525</v>
      </c>
      <c r="B18" s="185">
        <f t="shared" si="1"/>
        <v>12</v>
      </c>
      <c r="C18" s="10">
        <f>INDEX(DriversGams!$A$5:$AN$23,MATCH(Drivers!$A18,DriversGams!$A$5:$A$23,0),MATCH(Drivers!C$3,DriversGams!$A$5:$AN$5,0))</f>
        <v>17.78</v>
      </c>
      <c r="D18" s="10">
        <f>INDEX(DriversGams!$A$5:$AN$23,MATCH(Drivers!$A18,DriversGams!$A$5:$A$23,0),MATCH(Drivers!D$3,DriversGams!$A$5:$AN$5,0))</f>
        <v>18.190000000000001</v>
      </c>
      <c r="E18" s="10">
        <f>INDEX(DriversGams!$A$5:$AN$23,MATCH(Drivers!$A18,DriversGams!$A$5:$A$23,0),MATCH(Drivers!E$3,DriversGams!$A$5:$AN$5,0))</f>
        <v>18.54</v>
      </c>
      <c r="F18" s="10">
        <f>INDEX(DriversGams!$A$5:$AN$23,MATCH(Drivers!$A18,DriversGams!$A$5:$A$23,0),MATCH(Drivers!F$3,DriversGams!$A$5:$AN$5,0))</f>
        <v>18.73</v>
      </c>
      <c r="G18" s="10">
        <f>INDEX(DriversGams!$A$5:$AN$23,MATCH(Drivers!$A18,DriversGams!$A$5:$A$23,0),MATCH(Drivers!G$3,DriversGams!$A$5:$AN$5,0))</f>
        <v>19.13</v>
      </c>
      <c r="H18" s="10">
        <f>INDEX(DriversGams!$A$5:$AN$23,MATCH(Drivers!$A18,DriversGams!$A$5:$A$23,0),MATCH(Drivers!H$3,DriversGams!$A$5:$AN$5,0))</f>
        <v>19.23</v>
      </c>
      <c r="I18" s="10">
        <f>INDEX(DriversGams!$A$5:$AN$23,MATCH(Drivers!$A18,DriversGams!$A$5:$A$23,0),MATCH(Drivers!I$3,DriversGams!$A$5:$AN$5,0))</f>
        <v>19.5</v>
      </c>
      <c r="J18" s="10">
        <f>INDEX(DriversGams!$A$5:$AN$23,MATCH(Drivers!$A18,DriversGams!$A$5:$A$23,0),MATCH(Drivers!J$3,DriversGams!$A$5:$AN$5,0))</f>
        <v>19.52</v>
      </c>
      <c r="K18" s="10">
        <f>INDEX(DriversGams!$A$5:$AN$23,MATCH(Drivers!$A18,DriversGams!$A$5:$A$23,0),MATCH(Drivers!K$3,DriversGams!$A$5:$AN$5,0))</f>
        <v>18.16</v>
      </c>
      <c r="L18" s="10">
        <f>INDEX(DriversGams!$A$5:$AN$23,MATCH(Drivers!$A18,DriversGams!$A$5:$A$23,0),MATCH(Drivers!L$3,DriversGams!$A$5:$AN$5,0))</f>
        <v>18.68</v>
      </c>
      <c r="M18" s="10">
        <f>INDEX(DriversGams!$A$5:$AN$23,MATCH(Drivers!$A18,DriversGams!$A$5:$A$23,0),MATCH(Drivers!M$3,DriversGams!$A$5:$AN$5,0))</f>
        <v>19.149999999999999</v>
      </c>
      <c r="N18" s="10">
        <f>INDEX(DriversGams!$A$5:$AN$23,MATCH(Drivers!$A18,DriversGams!$A$5:$A$23,0),MATCH(Drivers!N$3,DriversGams!$A$5:$AN$5,0))</f>
        <v>19.61</v>
      </c>
      <c r="O18" s="10">
        <f>INDEX(DriversGams!$A$5:$AN$23,MATCH(Drivers!$A18,DriversGams!$A$5:$A$23,0),MATCH(Drivers!O$3,DriversGams!$A$5:$AN$5,0))</f>
        <v>20.04</v>
      </c>
      <c r="P18" s="10">
        <f>INDEX(DriversGams!$A$5:$AN$23,MATCH(Drivers!$A18,DriversGams!$A$5:$A$23,0),MATCH(Drivers!P$3,DriversGams!$A$5:$AN$5,0))</f>
        <v>20.51</v>
      </c>
      <c r="Q18" s="10">
        <f>INDEX(DriversGams!$A$5:$AN$23,MATCH(Drivers!$A18,DriversGams!$A$5:$A$23,0),MATCH(Drivers!Q$3,DriversGams!$A$5:$AN$5,0))</f>
        <v>21.11</v>
      </c>
      <c r="R18" s="10">
        <f>INDEX(DriversGams!$A$5:$AN$23,MATCH(Drivers!$A18,DriversGams!$A$5:$A$23,0),MATCH(Drivers!R$3,DriversGams!$A$5:$AN$5,0))</f>
        <v>21.69</v>
      </c>
      <c r="S18" s="10">
        <f>INDEX(DriversGams!$A$5:$AN$23,MATCH(Drivers!$A18,DriversGams!$A$5:$A$23,0),MATCH(Drivers!S$3,DriversGams!$A$5:$AN$5,0))</f>
        <v>22.28</v>
      </c>
      <c r="T18" s="10">
        <f>INDEX(DriversGams!$A$5:$AN$23,MATCH(Drivers!$A18,DriversGams!$A$5:$A$23,0),MATCH(Drivers!T$3,DriversGams!$A$5:$AN$5,0))</f>
        <v>22.83</v>
      </c>
      <c r="U18" s="10">
        <f>INDEX(DriversGams!$A$5:$AN$23,MATCH(Drivers!$A18,DriversGams!$A$5:$A$23,0),MATCH(Drivers!U$3,DriversGams!$A$5:$AN$5,0))</f>
        <v>23.42</v>
      </c>
      <c r="V18" s="10">
        <f>INDEX(DriversGams!$A$5:$AN$23,MATCH(Drivers!$A18,DriversGams!$A$5:$A$23,0),MATCH(Drivers!V$3,DriversGams!$A$5:$AN$5,0))</f>
        <v>24.02</v>
      </c>
      <c r="W18" s="10">
        <f>INDEX(DriversGams!$A$5:$AN$23,MATCH(Drivers!$A18,DriversGams!$A$5:$A$23,0),MATCH(Drivers!W$3,DriversGams!$A$5:$AN$5,0))</f>
        <v>24.61</v>
      </c>
      <c r="X18" s="10">
        <f>INDEX(DriversGams!$A$5:$AN$23,MATCH(Drivers!$A18,DriversGams!$A$5:$A$23,0),MATCH(Drivers!X$3,DriversGams!$A$5:$AN$5,0))</f>
        <v>25.26</v>
      </c>
      <c r="Y18" s="10">
        <f>INDEX(DriversGams!$A$5:$AN$23,MATCH(Drivers!$A18,DriversGams!$A$5:$A$23,0),MATCH(Drivers!Y$3,DriversGams!$A$5:$AN$5,0))</f>
        <v>25.94</v>
      </c>
      <c r="Z18" s="10">
        <f>INDEX(DriversGams!$A$5:$AN$23,MATCH(Drivers!$A18,DriversGams!$A$5:$A$23,0),MATCH(Drivers!Z$3,DriversGams!$A$5:$AN$5,0))</f>
        <v>26.65</v>
      </c>
      <c r="AA18" s="10">
        <f>INDEX(DriversGams!$A$5:$AN$23,MATCH(Drivers!$A18,DriversGams!$A$5:$A$23,0),MATCH(Drivers!AA$3,DriversGams!$A$5:$AN$5,0))</f>
        <v>27.42</v>
      </c>
      <c r="AB18" s="10">
        <f>INDEX(DriversGams!$A$5:$AN$23,MATCH(Drivers!$A18,DriversGams!$A$5:$A$23,0),MATCH(Drivers!AB$3,DriversGams!$A$5:$AN$5,0))</f>
        <v>28.22</v>
      </c>
      <c r="AC18" s="10">
        <f>INDEX(DriversGams!$A$5:$AN$23,MATCH(Drivers!$A18,DriversGams!$A$5:$A$23,0),MATCH(Drivers!AC$3,DriversGams!$A$5:$AN$5,0))</f>
        <v>29.03</v>
      </c>
      <c r="AD18" s="10">
        <f>INDEX(DriversGams!$A$5:$AN$23,MATCH(Drivers!$A18,DriversGams!$A$5:$A$23,0),MATCH(Drivers!AD$3,DriversGams!$A$5:$AN$5,0))</f>
        <v>29.88</v>
      </c>
      <c r="AE18" s="10">
        <f>INDEX(DriversGams!$A$5:$AN$23,MATCH(Drivers!$A18,DriversGams!$A$5:$A$23,0),MATCH(Drivers!AE$3,DriversGams!$A$5:$AN$5,0))</f>
        <v>30.78</v>
      </c>
      <c r="AF18" s="10">
        <f>INDEX(DriversGams!$A$5:$AN$23,MATCH(Drivers!$A18,DriversGams!$A$5:$A$23,0),MATCH(Drivers!AF$3,DriversGams!$A$5:$AN$5,0))</f>
        <v>35.619999999999997</v>
      </c>
      <c r="AG18" s="10">
        <f>INDEX(DriversGams!$A$5:$AN$23,MATCH(Drivers!$A18,DriversGams!$A$5:$A$23,0),MATCH(Drivers!AG$3,DriversGams!$A$5:$AN$5,0))</f>
        <v>41.7</v>
      </c>
      <c r="AH18" s="126"/>
      <c r="AI18" s="126"/>
      <c r="AJ18" s="126"/>
      <c r="AK18" s="126"/>
      <c r="AL18" s="126"/>
      <c r="AM18" s="126"/>
      <c r="AO18" s="185">
        <f t="shared" si="2"/>
        <v>12</v>
      </c>
    </row>
    <row r="19" spans="1:41" s="185" customFormat="1">
      <c r="A19" s="134" t="s">
        <v>598</v>
      </c>
      <c r="B19" s="185">
        <f t="shared" si="1"/>
        <v>13</v>
      </c>
      <c r="C19" s="10">
        <f>INDEX(DriversGams!$A$5:$AN$23,MATCH(Drivers!$A19,DriversGams!$A$5:$A$23,0),MATCH(Drivers!C$3,DriversGams!$A$5:$AN$5,0))</f>
        <v>11.26</v>
      </c>
      <c r="D19" s="10">
        <f>INDEX(DriversGams!$A$5:$AN$23,MATCH(Drivers!$A19,DriversGams!$A$5:$A$23,0),MATCH(Drivers!D$3,DriversGams!$A$5:$AN$5,0))</f>
        <v>11.57</v>
      </c>
      <c r="E19" s="10">
        <f>INDEX(DriversGams!$A$5:$AN$23,MATCH(Drivers!$A19,DriversGams!$A$5:$A$23,0),MATCH(Drivers!E$3,DriversGams!$A$5:$AN$5,0))</f>
        <v>11.91</v>
      </c>
      <c r="F19" s="10">
        <f>INDEX(DriversGams!$A$5:$AN$23,MATCH(Drivers!$A19,DriversGams!$A$5:$A$23,0),MATCH(Drivers!F$3,DriversGams!$A$5:$AN$5,0))</f>
        <v>12.12</v>
      </c>
      <c r="G19" s="10">
        <f>INDEX(DriversGams!$A$5:$AN$23,MATCH(Drivers!$A19,DriversGams!$A$5:$A$23,0),MATCH(Drivers!G$3,DriversGams!$A$5:$AN$5,0))</f>
        <v>12.2</v>
      </c>
      <c r="H19" s="10">
        <f>INDEX(DriversGams!$A$5:$AN$23,MATCH(Drivers!$A19,DriversGams!$A$5:$A$23,0),MATCH(Drivers!H$3,DriversGams!$A$5:$AN$5,0))</f>
        <v>12.36</v>
      </c>
      <c r="I19" s="10">
        <f>INDEX(DriversGams!$A$5:$AN$23,MATCH(Drivers!$A19,DriversGams!$A$5:$A$23,0),MATCH(Drivers!I$3,DriversGams!$A$5:$AN$5,0))</f>
        <v>12.64</v>
      </c>
      <c r="J19" s="10">
        <f>INDEX(DriversGams!$A$5:$AN$23,MATCH(Drivers!$A19,DriversGams!$A$5:$A$23,0),MATCH(Drivers!J$3,DriversGams!$A$5:$AN$5,0))</f>
        <v>12.79</v>
      </c>
      <c r="K19" s="10">
        <f>INDEX(DriversGams!$A$5:$AN$23,MATCH(Drivers!$A19,DriversGams!$A$5:$A$23,0),MATCH(Drivers!K$3,DriversGams!$A$5:$AN$5,0))</f>
        <v>12</v>
      </c>
      <c r="L19" s="10">
        <f>INDEX(DriversGams!$A$5:$AN$23,MATCH(Drivers!$A19,DriversGams!$A$5:$A$23,0),MATCH(Drivers!L$3,DriversGams!$A$5:$AN$5,0))</f>
        <v>12.34</v>
      </c>
      <c r="M19" s="10">
        <f>INDEX(DriversGams!$A$5:$AN$23,MATCH(Drivers!$A19,DriversGams!$A$5:$A$23,0),MATCH(Drivers!M$3,DriversGams!$A$5:$AN$5,0))</f>
        <v>12.61</v>
      </c>
      <c r="N19" s="10">
        <f>INDEX(DriversGams!$A$5:$AN$23,MATCH(Drivers!$A19,DriversGams!$A$5:$A$23,0),MATCH(Drivers!N$3,DriversGams!$A$5:$AN$5,0))</f>
        <v>12.86</v>
      </c>
      <c r="O19" s="10">
        <f>INDEX(DriversGams!$A$5:$AN$23,MATCH(Drivers!$A19,DriversGams!$A$5:$A$23,0),MATCH(Drivers!O$3,DriversGams!$A$5:$AN$5,0))</f>
        <v>13.09</v>
      </c>
      <c r="P19" s="10">
        <f>INDEX(DriversGams!$A$5:$AN$23,MATCH(Drivers!$A19,DriversGams!$A$5:$A$23,0),MATCH(Drivers!P$3,DriversGams!$A$5:$AN$5,0))</f>
        <v>13.32</v>
      </c>
      <c r="Q19" s="10">
        <f>INDEX(DriversGams!$A$5:$AN$23,MATCH(Drivers!$A19,DriversGams!$A$5:$A$23,0),MATCH(Drivers!Q$3,DriversGams!$A$5:$AN$5,0))</f>
        <v>13.6</v>
      </c>
      <c r="R19" s="10">
        <f>INDEX(DriversGams!$A$5:$AN$23,MATCH(Drivers!$A19,DriversGams!$A$5:$A$23,0),MATCH(Drivers!R$3,DriversGams!$A$5:$AN$5,0))</f>
        <v>13.87</v>
      </c>
      <c r="S19" s="10">
        <f>INDEX(DriversGams!$A$5:$AN$23,MATCH(Drivers!$A19,DriversGams!$A$5:$A$23,0),MATCH(Drivers!S$3,DriversGams!$A$5:$AN$5,0))</f>
        <v>14.15</v>
      </c>
      <c r="T19" s="10">
        <f>INDEX(DriversGams!$A$5:$AN$23,MATCH(Drivers!$A19,DriversGams!$A$5:$A$23,0),MATCH(Drivers!T$3,DriversGams!$A$5:$AN$5,0))</f>
        <v>14.45</v>
      </c>
      <c r="U19" s="10">
        <f>INDEX(DriversGams!$A$5:$AN$23,MATCH(Drivers!$A19,DriversGams!$A$5:$A$23,0),MATCH(Drivers!U$3,DriversGams!$A$5:$AN$5,0))</f>
        <v>14.74</v>
      </c>
      <c r="V19" s="10">
        <f>INDEX(DriversGams!$A$5:$AN$23,MATCH(Drivers!$A19,DriversGams!$A$5:$A$23,0),MATCH(Drivers!V$3,DriversGams!$A$5:$AN$5,0))</f>
        <v>15.11</v>
      </c>
      <c r="W19" s="10">
        <f>INDEX(DriversGams!$A$5:$AN$23,MATCH(Drivers!$A19,DriversGams!$A$5:$A$23,0),MATCH(Drivers!W$3,DriversGams!$A$5:$AN$5,0))</f>
        <v>15.46</v>
      </c>
      <c r="X19" s="10">
        <f>INDEX(DriversGams!$A$5:$AN$23,MATCH(Drivers!$A19,DriversGams!$A$5:$A$23,0),MATCH(Drivers!X$3,DriversGams!$A$5:$AN$5,0))</f>
        <v>15.83</v>
      </c>
      <c r="Y19" s="10">
        <f>INDEX(DriversGams!$A$5:$AN$23,MATCH(Drivers!$A19,DriversGams!$A$5:$A$23,0),MATCH(Drivers!Y$3,DriversGams!$A$5:$AN$5,0))</f>
        <v>16.22</v>
      </c>
      <c r="Z19" s="10">
        <f>INDEX(DriversGams!$A$5:$AN$23,MATCH(Drivers!$A19,DriversGams!$A$5:$A$23,0),MATCH(Drivers!Z$3,DriversGams!$A$5:$AN$5,0))</f>
        <v>16.63</v>
      </c>
      <c r="AA19" s="10">
        <f>INDEX(DriversGams!$A$5:$AN$23,MATCH(Drivers!$A19,DriversGams!$A$5:$A$23,0),MATCH(Drivers!AA$3,DriversGams!$A$5:$AN$5,0))</f>
        <v>17.04</v>
      </c>
      <c r="AB19" s="10">
        <f>INDEX(DriversGams!$A$5:$AN$23,MATCH(Drivers!$A19,DriversGams!$A$5:$A$23,0),MATCH(Drivers!AB$3,DriversGams!$A$5:$AN$5,0))</f>
        <v>17.47</v>
      </c>
      <c r="AC19" s="10">
        <f>INDEX(DriversGams!$A$5:$AN$23,MATCH(Drivers!$A19,DriversGams!$A$5:$A$23,0),MATCH(Drivers!AC$3,DriversGams!$A$5:$AN$5,0))</f>
        <v>17.89</v>
      </c>
      <c r="AD19" s="10">
        <f>INDEX(DriversGams!$A$5:$AN$23,MATCH(Drivers!$A19,DriversGams!$A$5:$A$23,0),MATCH(Drivers!AD$3,DriversGams!$A$5:$AN$5,0))</f>
        <v>18.329999999999998</v>
      </c>
      <c r="AE19" s="10">
        <f>INDEX(DriversGams!$A$5:$AN$23,MATCH(Drivers!$A19,DriversGams!$A$5:$A$23,0),MATCH(Drivers!AE$3,DriversGams!$A$5:$AN$5,0))</f>
        <v>18.8</v>
      </c>
      <c r="AF19" s="10">
        <f>INDEX(DriversGams!$A$5:$AN$23,MATCH(Drivers!$A19,DriversGams!$A$5:$A$23,0),MATCH(Drivers!AF$3,DriversGams!$A$5:$AN$5,0))</f>
        <v>21.32</v>
      </c>
      <c r="AG19" s="10">
        <f>INDEX(DriversGams!$A$5:$AN$23,MATCH(Drivers!$A19,DriversGams!$A$5:$A$23,0),MATCH(Drivers!AG$3,DriversGams!$A$5:$AN$5,0))</f>
        <v>24.05</v>
      </c>
      <c r="AH19" s="126"/>
      <c r="AI19" s="126"/>
      <c r="AJ19" s="126"/>
      <c r="AK19" s="126"/>
      <c r="AL19" s="126"/>
      <c r="AM19" s="126"/>
      <c r="AO19" s="185">
        <f t="shared" si="2"/>
        <v>13</v>
      </c>
    </row>
    <row r="20" spans="1:41" s="185" customFormat="1">
      <c r="A20" s="134" t="s">
        <v>597</v>
      </c>
      <c r="B20" s="185">
        <f t="shared" si="1"/>
        <v>14</v>
      </c>
      <c r="C20" s="10">
        <f>INDEX(DriversGams!$A$5:$AN$23,MATCH(Drivers!$A20,DriversGams!$A$5:$A$23,0),MATCH(Drivers!C$3,DriversGams!$A$5:$AN$5,0))</f>
        <v>135.96</v>
      </c>
      <c r="D20" s="10">
        <f>INDEX(DriversGams!$A$5:$AN$23,MATCH(Drivers!$A20,DriversGams!$A$5:$A$23,0),MATCH(Drivers!D$3,DriversGams!$A$5:$AN$5,0))</f>
        <v>139.72999999999999</v>
      </c>
      <c r="E20" s="10">
        <f>INDEX(DriversGams!$A$5:$AN$23,MATCH(Drivers!$A20,DriversGams!$A$5:$A$23,0),MATCH(Drivers!E$3,DriversGams!$A$5:$AN$5,0))</f>
        <v>142.69999999999999</v>
      </c>
      <c r="F20" s="10">
        <f>INDEX(DriversGams!$A$5:$AN$23,MATCH(Drivers!$A20,DriversGams!$A$5:$A$23,0),MATCH(Drivers!F$3,DriversGams!$A$5:$AN$5,0))</f>
        <v>144.16</v>
      </c>
      <c r="G20" s="10">
        <f>INDEX(DriversGams!$A$5:$AN$23,MATCH(Drivers!$A20,DriversGams!$A$5:$A$23,0),MATCH(Drivers!G$3,DriversGams!$A$5:$AN$5,0))</f>
        <v>145.31</v>
      </c>
      <c r="H20" s="10">
        <f>INDEX(DriversGams!$A$5:$AN$23,MATCH(Drivers!$A20,DriversGams!$A$5:$A$23,0),MATCH(Drivers!H$3,DriversGams!$A$5:$AN$5,0))</f>
        <v>147.16</v>
      </c>
      <c r="I20" s="10">
        <f>INDEX(DriversGams!$A$5:$AN$23,MATCH(Drivers!$A20,DriversGams!$A$5:$A$23,0),MATCH(Drivers!I$3,DriversGams!$A$5:$AN$5,0))</f>
        <v>148.75</v>
      </c>
      <c r="J20" s="10">
        <f>INDEX(DriversGams!$A$5:$AN$23,MATCH(Drivers!$A20,DriversGams!$A$5:$A$23,0),MATCH(Drivers!J$3,DriversGams!$A$5:$AN$5,0))</f>
        <v>149.16999999999999</v>
      </c>
      <c r="K20" s="10">
        <f>INDEX(DriversGams!$A$5:$AN$23,MATCH(Drivers!$A20,DriversGams!$A$5:$A$23,0),MATCH(Drivers!K$3,DriversGams!$A$5:$AN$5,0))</f>
        <v>138.22</v>
      </c>
      <c r="L20" s="10">
        <f>INDEX(DriversGams!$A$5:$AN$23,MATCH(Drivers!$A20,DriversGams!$A$5:$A$23,0),MATCH(Drivers!L$3,DriversGams!$A$5:$AN$5,0))</f>
        <v>141.11000000000001</v>
      </c>
      <c r="M20" s="10">
        <f>INDEX(DriversGams!$A$5:$AN$23,MATCH(Drivers!$A20,DriversGams!$A$5:$A$23,0),MATCH(Drivers!M$3,DriversGams!$A$5:$AN$5,0))</f>
        <v>144.02000000000001</v>
      </c>
      <c r="N20" s="10">
        <f>INDEX(DriversGams!$A$5:$AN$23,MATCH(Drivers!$A20,DriversGams!$A$5:$A$23,0),MATCH(Drivers!N$3,DriversGams!$A$5:$AN$5,0))</f>
        <v>146.85</v>
      </c>
      <c r="O20" s="10">
        <f>INDEX(DriversGams!$A$5:$AN$23,MATCH(Drivers!$A20,DriversGams!$A$5:$A$23,0),MATCH(Drivers!O$3,DriversGams!$A$5:$AN$5,0))</f>
        <v>149.56</v>
      </c>
      <c r="P20" s="10">
        <f>INDEX(DriversGams!$A$5:$AN$23,MATCH(Drivers!$A20,DriversGams!$A$5:$A$23,0),MATCH(Drivers!P$3,DriversGams!$A$5:$AN$5,0))</f>
        <v>152.32</v>
      </c>
      <c r="Q20" s="10">
        <f>INDEX(DriversGams!$A$5:$AN$23,MATCH(Drivers!$A20,DriversGams!$A$5:$A$23,0),MATCH(Drivers!Q$3,DriversGams!$A$5:$AN$5,0))</f>
        <v>155.71</v>
      </c>
      <c r="R20" s="10">
        <f>INDEX(DriversGams!$A$5:$AN$23,MATCH(Drivers!$A20,DriversGams!$A$5:$A$23,0),MATCH(Drivers!R$3,DriversGams!$A$5:$AN$5,0))</f>
        <v>158.9</v>
      </c>
      <c r="S20" s="10">
        <f>INDEX(DriversGams!$A$5:$AN$23,MATCH(Drivers!$A20,DriversGams!$A$5:$A$23,0),MATCH(Drivers!S$3,DriversGams!$A$5:$AN$5,0))</f>
        <v>162.26</v>
      </c>
      <c r="T20" s="10">
        <f>INDEX(DriversGams!$A$5:$AN$23,MATCH(Drivers!$A20,DriversGams!$A$5:$A$23,0),MATCH(Drivers!T$3,DriversGams!$A$5:$AN$5,0))</f>
        <v>165.94</v>
      </c>
      <c r="U20" s="10">
        <f>INDEX(DriversGams!$A$5:$AN$23,MATCH(Drivers!$A20,DriversGams!$A$5:$A$23,0),MATCH(Drivers!U$3,DriversGams!$A$5:$AN$5,0))</f>
        <v>169.63</v>
      </c>
      <c r="V20" s="10">
        <f>INDEX(DriversGams!$A$5:$AN$23,MATCH(Drivers!$A20,DriversGams!$A$5:$A$23,0),MATCH(Drivers!V$3,DriversGams!$A$5:$AN$5,0))</f>
        <v>174.19</v>
      </c>
      <c r="W20" s="10">
        <f>INDEX(DriversGams!$A$5:$AN$23,MATCH(Drivers!$A20,DriversGams!$A$5:$A$23,0),MATCH(Drivers!W$3,DriversGams!$A$5:$AN$5,0))</f>
        <v>178.43</v>
      </c>
      <c r="X20" s="10">
        <f>INDEX(DriversGams!$A$5:$AN$23,MATCH(Drivers!$A20,DriversGams!$A$5:$A$23,0),MATCH(Drivers!X$3,DriversGams!$A$5:$AN$5,0))</f>
        <v>183.19</v>
      </c>
      <c r="Y20" s="10">
        <f>INDEX(DriversGams!$A$5:$AN$23,MATCH(Drivers!$A20,DriversGams!$A$5:$A$23,0),MATCH(Drivers!Y$3,DriversGams!$A$5:$AN$5,0))</f>
        <v>188.3</v>
      </c>
      <c r="Z20" s="10">
        <f>INDEX(DriversGams!$A$5:$AN$23,MATCH(Drivers!$A20,DriversGams!$A$5:$A$23,0),MATCH(Drivers!Z$3,DriversGams!$A$5:$AN$5,0))</f>
        <v>193.91</v>
      </c>
      <c r="AA20" s="10">
        <f>INDEX(DriversGams!$A$5:$AN$23,MATCH(Drivers!$A20,DriversGams!$A$5:$A$23,0),MATCH(Drivers!AA$3,DriversGams!$A$5:$AN$5,0))</f>
        <v>199.62</v>
      </c>
      <c r="AB20" s="10">
        <f>INDEX(DriversGams!$A$5:$AN$23,MATCH(Drivers!$A20,DriversGams!$A$5:$A$23,0),MATCH(Drivers!AB$3,DriversGams!$A$5:$AN$5,0))</f>
        <v>205.55</v>
      </c>
      <c r="AC20" s="10">
        <f>INDEX(DriversGams!$A$5:$AN$23,MATCH(Drivers!$A20,DriversGams!$A$5:$A$23,0),MATCH(Drivers!AC$3,DriversGams!$A$5:$AN$5,0))</f>
        <v>211.53</v>
      </c>
      <c r="AD20" s="10">
        <f>INDEX(DriversGams!$A$5:$AN$23,MATCH(Drivers!$A20,DriversGams!$A$5:$A$23,0),MATCH(Drivers!AD$3,DriversGams!$A$5:$AN$5,0))</f>
        <v>217.76</v>
      </c>
      <c r="AE20" s="10">
        <f>INDEX(DriversGams!$A$5:$AN$23,MATCH(Drivers!$A20,DriversGams!$A$5:$A$23,0),MATCH(Drivers!AE$3,DriversGams!$A$5:$AN$5,0))</f>
        <v>224.36</v>
      </c>
      <c r="AF20" s="10">
        <f>INDEX(DriversGams!$A$5:$AN$23,MATCH(Drivers!$A20,DriversGams!$A$5:$A$23,0),MATCH(Drivers!AF$3,DriversGams!$A$5:$AN$5,0))</f>
        <v>261.98</v>
      </c>
      <c r="AG20" s="10">
        <f>INDEX(DriversGams!$A$5:$AN$23,MATCH(Drivers!$A20,DriversGams!$A$5:$A$23,0),MATCH(Drivers!AG$3,DriversGams!$A$5:$AN$5,0))</f>
        <v>309.06</v>
      </c>
      <c r="AH20" s="126"/>
      <c r="AI20" s="126"/>
      <c r="AJ20" s="126"/>
      <c r="AK20" s="126"/>
      <c r="AL20" s="126"/>
      <c r="AM20" s="126"/>
      <c r="AO20" s="185">
        <f t="shared" si="2"/>
        <v>14</v>
      </c>
    </row>
    <row r="21" spans="1:41" s="185" customFormat="1">
      <c r="A21" s="134" t="s">
        <v>596</v>
      </c>
      <c r="B21" s="185">
        <f t="shared" si="1"/>
        <v>15</v>
      </c>
      <c r="C21" s="10">
        <f>INDEX(DriversGams!$A$5:$AN$23,MATCH(Drivers!$A21,DriversGams!$A$5:$A$23,0),MATCH(Drivers!C$3,DriversGams!$A$5:$AN$5,0))</f>
        <v>21.15</v>
      </c>
      <c r="D21" s="10">
        <f>INDEX(DriversGams!$A$5:$AN$23,MATCH(Drivers!$A21,DriversGams!$A$5:$A$23,0),MATCH(Drivers!D$3,DriversGams!$A$5:$AN$5,0))</f>
        <v>22.37</v>
      </c>
      <c r="E21" s="10">
        <f>INDEX(DriversGams!$A$5:$AN$23,MATCH(Drivers!$A21,DriversGams!$A$5:$A$23,0),MATCH(Drivers!E$3,DriversGams!$A$5:$AN$5,0))</f>
        <v>23.86</v>
      </c>
      <c r="F21" s="10">
        <f>INDEX(DriversGams!$A$5:$AN$23,MATCH(Drivers!$A21,DriversGams!$A$5:$A$23,0),MATCH(Drivers!F$3,DriversGams!$A$5:$AN$5,0))</f>
        <v>24.79</v>
      </c>
      <c r="G21" s="10">
        <f>INDEX(DriversGams!$A$5:$AN$23,MATCH(Drivers!$A21,DriversGams!$A$5:$A$23,0),MATCH(Drivers!G$3,DriversGams!$A$5:$AN$5,0))</f>
        <v>25.39</v>
      </c>
      <c r="H21" s="10">
        <f>INDEX(DriversGams!$A$5:$AN$23,MATCH(Drivers!$A21,DriversGams!$A$5:$A$23,0),MATCH(Drivers!H$3,DriversGams!$A$5:$AN$5,0))</f>
        <v>26.91</v>
      </c>
      <c r="I21" s="10">
        <f>INDEX(DriversGams!$A$5:$AN$23,MATCH(Drivers!$A21,DriversGams!$A$5:$A$23,0),MATCH(Drivers!I$3,DriversGams!$A$5:$AN$5,0))</f>
        <v>28.69</v>
      </c>
      <c r="J21" s="10">
        <f>INDEX(DriversGams!$A$5:$AN$23,MATCH(Drivers!$A21,DriversGams!$A$5:$A$23,0),MATCH(Drivers!J$3,DriversGams!$A$5:$AN$5,0))</f>
        <v>29.81</v>
      </c>
      <c r="K21" s="10">
        <f>INDEX(DriversGams!$A$5:$AN$23,MATCH(Drivers!$A21,DriversGams!$A$5:$A$23,0),MATCH(Drivers!K$3,DriversGams!$A$5:$AN$5,0))</f>
        <v>28.74</v>
      </c>
      <c r="L21" s="10">
        <f>INDEX(DriversGams!$A$5:$AN$23,MATCH(Drivers!$A21,DriversGams!$A$5:$A$23,0),MATCH(Drivers!L$3,DriversGams!$A$5:$AN$5,0))</f>
        <v>30.06</v>
      </c>
      <c r="M21" s="10">
        <f>INDEX(DriversGams!$A$5:$AN$23,MATCH(Drivers!$A21,DriversGams!$A$5:$A$23,0),MATCH(Drivers!M$3,DriversGams!$A$5:$AN$5,0))</f>
        <v>31.41</v>
      </c>
      <c r="N21" s="10">
        <f>INDEX(DriversGams!$A$5:$AN$23,MATCH(Drivers!$A21,DriversGams!$A$5:$A$23,0),MATCH(Drivers!N$3,DriversGams!$A$5:$AN$5,0))</f>
        <v>32.79</v>
      </c>
      <c r="O21" s="10">
        <f>INDEX(DriversGams!$A$5:$AN$23,MATCH(Drivers!$A21,DriversGams!$A$5:$A$23,0),MATCH(Drivers!O$3,DriversGams!$A$5:$AN$5,0))</f>
        <v>34.18</v>
      </c>
      <c r="P21" s="10">
        <f>INDEX(DriversGams!$A$5:$AN$23,MATCH(Drivers!$A21,DriversGams!$A$5:$A$23,0),MATCH(Drivers!P$3,DriversGams!$A$5:$AN$5,0))</f>
        <v>35.74</v>
      </c>
      <c r="Q21" s="10">
        <f>INDEX(DriversGams!$A$5:$AN$23,MATCH(Drivers!$A21,DriversGams!$A$5:$A$23,0),MATCH(Drivers!Q$3,DriversGams!$A$5:$AN$5,0))</f>
        <v>37.880000000000003</v>
      </c>
      <c r="R21" s="10">
        <f>INDEX(DriversGams!$A$5:$AN$23,MATCH(Drivers!$A21,DriversGams!$A$5:$A$23,0),MATCH(Drivers!R$3,DriversGams!$A$5:$AN$5,0))</f>
        <v>40.24</v>
      </c>
      <c r="S21" s="10">
        <f>INDEX(DriversGams!$A$5:$AN$23,MATCH(Drivers!$A21,DriversGams!$A$5:$A$23,0),MATCH(Drivers!S$3,DriversGams!$A$5:$AN$5,0))</f>
        <v>42.9</v>
      </c>
      <c r="T21" s="10">
        <f>INDEX(DriversGams!$A$5:$AN$23,MATCH(Drivers!$A21,DriversGams!$A$5:$A$23,0),MATCH(Drivers!T$3,DriversGams!$A$5:$AN$5,0))</f>
        <v>45.9</v>
      </c>
      <c r="U21" s="10">
        <f>INDEX(DriversGams!$A$5:$AN$23,MATCH(Drivers!$A21,DriversGams!$A$5:$A$23,0),MATCH(Drivers!U$3,DriversGams!$A$5:$AN$5,0))</f>
        <v>49.13</v>
      </c>
      <c r="V21" s="10">
        <f>INDEX(DriversGams!$A$5:$AN$23,MATCH(Drivers!$A21,DriversGams!$A$5:$A$23,0),MATCH(Drivers!V$3,DriversGams!$A$5:$AN$5,0))</f>
        <v>52.76</v>
      </c>
      <c r="W21" s="10">
        <f>INDEX(DriversGams!$A$5:$AN$23,MATCH(Drivers!$A21,DriversGams!$A$5:$A$23,0),MATCH(Drivers!W$3,DriversGams!$A$5:$AN$5,0))</f>
        <v>56.4</v>
      </c>
      <c r="X21" s="10">
        <f>INDEX(DriversGams!$A$5:$AN$23,MATCH(Drivers!$A21,DriversGams!$A$5:$A$23,0),MATCH(Drivers!X$3,DriversGams!$A$5:$AN$5,0))</f>
        <v>60.42</v>
      </c>
      <c r="Y21" s="10">
        <f>INDEX(DriversGams!$A$5:$AN$23,MATCH(Drivers!$A21,DriversGams!$A$5:$A$23,0),MATCH(Drivers!Y$3,DriversGams!$A$5:$AN$5,0))</f>
        <v>64.709999999999994</v>
      </c>
      <c r="Z21" s="10">
        <f>INDEX(DriversGams!$A$5:$AN$23,MATCH(Drivers!$A21,DriversGams!$A$5:$A$23,0),MATCH(Drivers!Z$3,DriversGams!$A$5:$AN$5,0))</f>
        <v>69.47</v>
      </c>
      <c r="AA21" s="10">
        <f>INDEX(DriversGams!$A$5:$AN$23,MATCH(Drivers!$A21,DriversGams!$A$5:$A$23,0),MATCH(Drivers!AA$3,DriversGams!$A$5:$AN$5,0))</f>
        <v>74.56</v>
      </c>
      <c r="AB21" s="10">
        <f>INDEX(DriversGams!$A$5:$AN$23,MATCH(Drivers!$A21,DriversGams!$A$5:$A$23,0),MATCH(Drivers!AB$3,DriversGams!$A$5:$AN$5,0))</f>
        <v>79.92</v>
      </c>
      <c r="AC21" s="10">
        <f>INDEX(DriversGams!$A$5:$AN$23,MATCH(Drivers!$A21,DriversGams!$A$5:$A$23,0),MATCH(Drivers!AC$3,DriversGams!$A$5:$AN$5,0))</f>
        <v>85.44</v>
      </c>
      <c r="AD21" s="10">
        <f>INDEX(DriversGams!$A$5:$AN$23,MATCH(Drivers!$A21,DriversGams!$A$5:$A$23,0),MATCH(Drivers!AD$3,DriversGams!$A$5:$AN$5,0))</f>
        <v>91.27</v>
      </c>
      <c r="AE21" s="10">
        <f>INDEX(DriversGams!$A$5:$AN$23,MATCH(Drivers!$A21,DriversGams!$A$5:$A$23,0),MATCH(Drivers!AE$3,DriversGams!$A$5:$AN$5,0))</f>
        <v>97.47</v>
      </c>
      <c r="AF21" s="10">
        <f>INDEX(DriversGams!$A$5:$AN$23,MATCH(Drivers!$A21,DriversGams!$A$5:$A$23,0),MATCH(Drivers!AF$3,DriversGams!$A$5:$AN$5,0))</f>
        <v>129.41999999999999</v>
      </c>
      <c r="AG21" s="10">
        <f>INDEX(DriversGams!$A$5:$AN$23,MATCH(Drivers!$A21,DriversGams!$A$5:$A$23,0),MATCH(Drivers!AG$3,DriversGams!$A$5:$AN$5,0))</f>
        <v>163.72</v>
      </c>
      <c r="AH21" s="126"/>
      <c r="AI21" s="126"/>
      <c r="AJ21" s="126"/>
      <c r="AK21" s="126"/>
      <c r="AL21" s="126"/>
      <c r="AM21" s="126"/>
      <c r="AO21" s="185">
        <f t="shared" si="2"/>
        <v>15</v>
      </c>
    </row>
    <row r="22" spans="1:41" s="185" customFormat="1">
      <c r="A22" s="134" t="s">
        <v>599</v>
      </c>
      <c r="B22" s="185">
        <f t="shared" si="1"/>
        <v>16</v>
      </c>
      <c r="C22" s="10">
        <f>INDEX(DriversGams!$A$5:$AN$23,MATCH(Drivers!$A22,DriversGams!$A$5:$A$23,0),MATCH(Drivers!C$3,DriversGams!$A$5:$AN$5,0))</f>
        <v>1.1399999999999999</v>
      </c>
      <c r="D22" s="10">
        <f>INDEX(DriversGams!$A$5:$AN$23,MATCH(Drivers!$A22,DriversGams!$A$5:$A$23,0),MATCH(Drivers!D$3,DriversGams!$A$5:$AN$5,0))</f>
        <v>1.1599999999999999</v>
      </c>
      <c r="E22" s="10">
        <f>INDEX(DriversGams!$A$5:$AN$23,MATCH(Drivers!$A22,DriversGams!$A$5:$A$23,0),MATCH(Drivers!E$3,DriversGams!$A$5:$AN$5,0))</f>
        <v>1.1399999999999999</v>
      </c>
      <c r="F22" s="10">
        <f>INDEX(DriversGams!$A$5:$AN$23,MATCH(Drivers!$A22,DriversGams!$A$5:$A$23,0),MATCH(Drivers!F$3,DriversGams!$A$5:$AN$5,0))</f>
        <v>1.1299999999999999</v>
      </c>
      <c r="G22" s="10">
        <f>INDEX(DriversGams!$A$5:$AN$23,MATCH(Drivers!$A22,DriversGams!$A$5:$A$23,0),MATCH(Drivers!G$3,DriversGams!$A$5:$AN$5,0))</f>
        <v>1.1499999999999999</v>
      </c>
      <c r="H22" s="10">
        <f>INDEX(DriversGams!$A$5:$AN$23,MATCH(Drivers!$A22,DriversGams!$A$5:$A$23,0),MATCH(Drivers!H$3,DriversGams!$A$5:$AN$5,0))</f>
        <v>1.1499999999999999</v>
      </c>
      <c r="I22" s="10">
        <f>INDEX(DriversGams!$A$5:$AN$23,MATCH(Drivers!$A22,DriversGams!$A$5:$A$23,0),MATCH(Drivers!I$3,DriversGams!$A$5:$AN$5,0))</f>
        <v>1.1200000000000001</v>
      </c>
      <c r="J22" s="10">
        <f>INDEX(DriversGams!$A$5:$AN$23,MATCH(Drivers!$A22,DriversGams!$A$5:$A$23,0),MATCH(Drivers!J$3,DriversGams!$A$5:$AN$5,0))</f>
        <v>1.0900000000000001</v>
      </c>
      <c r="K22" s="10">
        <f>INDEX(DriversGams!$A$5:$AN$23,MATCH(Drivers!$A22,DriversGams!$A$5:$A$23,0),MATCH(Drivers!K$3,DriversGams!$A$5:$AN$5,0))</f>
        <v>0.99</v>
      </c>
      <c r="L22" s="10">
        <f>INDEX(DriversGams!$A$5:$AN$23,MATCH(Drivers!$A22,DriversGams!$A$5:$A$23,0),MATCH(Drivers!L$3,DriversGams!$A$5:$AN$5,0))</f>
        <v>0.99</v>
      </c>
      <c r="M22" s="10">
        <f>INDEX(DriversGams!$A$5:$AN$23,MATCH(Drivers!$A22,DriversGams!$A$5:$A$23,0),MATCH(Drivers!M$3,DriversGams!$A$5:$AN$5,0))</f>
        <v>1</v>
      </c>
      <c r="N22" s="10">
        <f>INDEX(DriversGams!$A$5:$AN$23,MATCH(Drivers!$A22,DriversGams!$A$5:$A$23,0),MATCH(Drivers!N$3,DriversGams!$A$5:$AN$5,0))</f>
        <v>1.02</v>
      </c>
      <c r="O22" s="10">
        <f>INDEX(DriversGams!$A$5:$AN$23,MATCH(Drivers!$A22,DriversGams!$A$5:$A$23,0),MATCH(Drivers!O$3,DriversGams!$A$5:$AN$5,0))</f>
        <v>1.03</v>
      </c>
      <c r="P22" s="10">
        <f>INDEX(DriversGams!$A$5:$AN$23,MATCH(Drivers!$A22,DriversGams!$A$5:$A$23,0),MATCH(Drivers!P$3,DriversGams!$A$5:$AN$5,0))</f>
        <v>1.05</v>
      </c>
      <c r="Q22" s="10">
        <f>INDEX(DriversGams!$A$5:$AN$23,MATCH(Drivers!$A22,DriversGams!$A$5:$A$23,0),MATCH(Drivers!Q$3,DriversGams!$A$5:$AN$5,0))</f>
        <v>1.07</v>
      </c>
      <c r="R22" s="10">
        <f>INDEX(DriversGams!$A$5:$AN$23,MATCH(Drivers!$A22,DriversGams!$A$5:$A$23,0),MATCH(Drivers!R$3,DriversGams!$A$5:$AN$5,0))</f>
        <v>1.0900000000000001</v>
      </c>
      <c r="S22" s="10">
        <f>INDEX(DriversGams!$A$5:$AN$23,MATCH(Drivers!$A22,DriversGams!$A$5:$A$23,0),MATCH(Drivers!S$3,DriversGams!$A$5:$AN$5,0))</f>
        <v>1.1100000000000001</v>
      </c>
      <c r="T22" s="10">
        <f>INDEX(DriversGams!$A$5:$AN$23,MATCH(Drivers!$A22,DriversGams!$A$5:$A$23,0),MATCH(Drivers!T$3,DriversGams!$A$5:$AN$5,0))</f>
        <v>1.1399999999999999</v>
      </c>
      <c r="U22" s="10">
        <f>INDEX(DriversGams!$A$5:$AN$23,MATCH(Drivers!$A22,DriversGams!$A$5:$A$23,0),MATCH(Drivers!U$3,DriversGams!$A$5:$AN$5,0))</f>
        <v>1.1599999999999999</v>
      </c>
      <c r="V22" s="10">
        <f>INDEX(DriversGams!$A$5:$AN$23,MATCH(Drivers!$A22,DriversGams!$A$5:$A$23,0),MATCH(Drivers!V$3,DriversGams!$A$5:$AN$5,0))</f>
        <v>1.2</v>
      </c>
      <c r="W22" s="10">
        <f>INDEX(DriversGams!$A$5:$AN$23,MATCH(Drivers!$A22,DriversGams!$A$5:$A$23,0),MATCH(Drivers!W$3,DriversGams!$A$5:$AN$5,0))</f>
        <v>1.23</v>
      </c>
      <c r="X22" s="10">
        <f>INDEX(DriversGams!$A$5:$AN$23,MATCH(Drivers!$A22,DriversGams!$A$5:$A$23,0),MATCH(Drivers!X$3,DriversGams!$A$5:$AN$5,0))</f>
        <v>1.27</v>
      </c>
      <c r="Y22" s="10">
        <f>INDEX(DriversGams!$A$5:$AN$23,MATCH(Drivers!$A22,DriversGams!$A$5:$A$23,0),MATCH(Drivers!Y$3,DriversGams!$A$5:$AN$5,0))</f>
        <v>1.31</v>
      </c>
      <c r="Z22" s="10">
        <f>INDEX(DriversGams!$A$5:$AN$23,MATCH(Drivers!$A22,DriversGams!$A$5:$A$23,0),MATCH(Drivers!Z$3,DriversGams!$A$5:$AN$5,0))</f>
        <v>1.36</v>
      </c>
      <c r="AA22" s="10">
        <f>INDEX(DriversGams!$A$5:$AN$23,MATCH(Drivers!$A22,DriversGams!$A$5:$A$23,0),MATCH(Drivers!AA$3,DriversGams!$A$5:$AN$5,0))</f>
        <v>1.42</v>
      </c>
      <c r="AB22" s="10">
        <f>INDEX(DriversGams!$A$5:$AN$23,MATCH(Drivers!$A22,DriversGams!$A$5:$A$23,0),MATCH(Drivers!AB$3,DriversGams!$A$5:$AN$5,0))</f>
        <v>1.47</v>
      </c>
      <c r="AC22" s="10">
        <f>INDEX(DriversGams!$A$5:$AN$23,MATCH(Drivers!$A22,DriversGams!$A$5:$A$23,0),MATCH(Drivers!AC$3,DriversGams!$A$5:$AN$5,0))</f>
        <v>1.53</v>
      </c>
      <c r="AD22" s="10">
        <f>INDEX(DriversGams!$A$5:$AN$23,MATCH(Drivers!$A22,DriversGams!$A$5:$A$23,0),MATCH(Drivers!AD$3,DriversGams!$A$5:$AN$5,0))</f>
        <v>1.58</v>
      </c>
      <c r="AE22" s="10">
        <f>INDEX(DriversGams!$A$5:$AN$23,MATCH(Drivers!$A22,DriversGams!$A$5:$A$23,0),MATCH(Drivers!AE$3,DriversGams!$A$5:$AN$5,0))</f>
        <v>1.65</v>
      </c>
      <c r="AF22" s="10">
        <f>INDEX(DriversGams!$A$5:$AN$23,MATCH(Drivers!$A22,DriversGams!$A$5:$A$23,0),MATCH(Drivers!AF$3,DriversGams!$A$5:$AN$5,0))</f>
        <v>2.0499999999999998</v>
      </c>
      <c r="AG22" s="10">
        <f>INDEX(DriversGams!$A$5:$AN$23,MATCH(Drivers!$A22,DriversGams!$A$5:$A$23,0),MATCH(Drivers!AG$3,DriversGams!$A$5:$AN$5,0))</f>
        <v>2.66</v>
      </c>
      <c r="AH22" s="126"/>
      <c r="AI22" s="126"/>
      <c r="AJ22" s="126"/>
      <c r="AK22" s="126"/>
      <c r="AL22" s="126"/>
      <c r="AM22" s="126"/>
      <c r="AO22" s="185">
        <f t="shared" si="2"/>
        <v>16</v>
      </c>
    </row>
    <row r="23" spans="1:41" s="185" customFormat="1">
      <c r="A23" s="134" t="s">
        <v>603</v>
      </c>
      <c r="B23" s="185">
        <f t="shared" si="1"/>
        <v>17</v>
      </c>
      <c r="C23" s="10">
        <f>INDEX(DriversGams!$A$5:$AN$23,MATCH(Drivers!$A23,DriversGams!$A$5:$A$23,0),MATCH(Drivers!C$3,DriversGams!$A$5:$AN$5,0))</f>
        <v>66.42</v>
      </c>
      <c r="D23" s="10">
        <f>INDEX(DriversGams!$A$5:$AN$23,MATCH(Drivers!$A23,DriversGams!$A$5:$A$23,0),MATCH(Drivers!D$3,DriversGams!$A$5:$AN$5,0))</f>
        <v>65.98</v>
      </c>
      <c r="E23" s="10">
        <f>INDEX(DriversGams!$A$5:$AN$23,MATCH(Drivers!$A23,DriversGams!$A$5:$A$23,0),MATCH(Drivers!E$3,DriversGams!$A$5:$AN$5,0))</f>
        <v>65.72</v>
      </c>
      <c r="F23" s="10">
        <f>INDEX(DriversGams!$A$5:$AN$23,MATCH(Drivers!$A23,DriversGams!$A$5:$A$23,0),MATCH(Drivers!F$3,DriversGams!$A$5:$AN$5,0))</f>
        <v>65.459999999999994</v>
      </c>
      <c r="G23" s="10">
        <f>INDEX(DriversGams!$A$5:$AN$23,MATCH(Drivers!$A23,DriversGams!$A$5:$A$23,0),MATCH(Drivers!G$3,DriversGams!$A$5:$AN$5,0))</f>
        <v>64.28</v>
      </c>
      <c r="H23" s="10">
        <f>INDEX(DriversGams!$A$5:$AN$23,MATCH(Drivers!$A23,DriversGams!$A$5:$A$23,0),MATCH(Drivers!H$3,DriversGams!$A$5:$AN$5,0))</f>
        <v>63.85</v>
      </c>
      <c r="I23" s="10">
        <f>INDEX(DriversGams!$A$5:$AN$23,MATCH(Drivers!$A23,DriversGams!$A$5:$A$23,0),MATCH(Drivers!I$3,DriversGams!$A$5:$AN$5,0))</f>
        <v>63.13</v>
      </c>
      <c r="J23" s="10">
        <f>INDEX(DriversGams!$A$5:$AN$23,MATCH(Drivers!$A23,DriversGams!$A$5:$A$23,0),MATCH(Drivers!J$3,DriversGams!$A$5:$AN$5,0))</f>
        <v>62.24</v>
      </c>
      <c r="K23" s="10">
        <f>INDEX(DriversGams!$A$5:$AN$23,MATCH(Drivers!$A23,DriversGams!$A$5:$A$23,0),MATCH(Drivers!K$3,DriversGams!$A$5:$AN$5,0))</f>
        <v>61.58</v>
      </c>
      <c r="L23" s="10">
        <f>INDEX(DriversGams!$A$5:$AN$23,MATCH(Drivers!$A23,DriversGams!$A$5:$A$23,0),MATCH(Drivers!L$3,DriversGams!$A$5:$AN$5,0))</f>
        <v>60.37</v>
      </c>
      <c r="M23" s="10">
        <f>INDEX(DriversGams!$A$5:$AN$23,MATCH(Drivers!$A23,DriversGams!$A$5:$A$23,0),MATCH(Drivers!M$3,DriversGams!$A$5:$AN$5,0))</f>
        <v>60.1</v>
      </c>
      <c r="N23" s="10">
        <f>INDEX(DriversGams!$A$5:$AN$23,MATCH(Drivers!$A23,DriversGams!$A$5:$A$23,0),MATCH(Drivers!N$3,DriversGams!$A$5:$AN$5,0))</f>
        <v>59.84</v>
      </c>
      <c r="O23" s="10">
        <f>INDEX(DriversGams!$A$5:$AN$23,MATCH(Drivers!$A23,DriversGams!$A$5:$A$23,0),MATCH(Drivers!O$3,DriversGams!$A$5:$AN$5,0))</f>
        <v>59.34</v>
      </c>
      <c r="P23" s="10">
        <f>INDEX(DriversGams!$A$5:$AN$23,MATCH(Drivers!$A23,DriversGams!$A$5:$A$23,0),MATCH(Drivers!P$3,DriversGams!$A$5:$AN$5,0))</f>
        <v>58.75</v>
      </c>
      <c r="Q23" s="10">
        <f>INDEX(DriversGams!$A$5:$AN$23,MATCH(Drivers!$A23,DriversGams!$A$5:$A$23,0),MATCH(Drivers!Q$3,DriversGams!$A$5:$AN$5,0))</f>
        <v>56.4</v>
      </c>
      <c r="R23" s="10">
        <f>INDEX(DriversGams!$A$5:$AN$23,MATCH(Drivers!$A23,DriversGams!$A$5:$A$23,0),MATCH(Drivers!R$3,DriversGams!$A$5:$AN$5,0))</f>
        <v>53.36</v>
      </c>
      <c r="S23" s="10">
        <f>INDEX(DriversGams!$A$5:$AN$23,MATCH(Drivers!$A23,DriversGams!$A$5:$A$23,0),MATCH(Drivers!S$3,DriversGams!$A$5:$AN$5,0))</f>
        <v>50.36</v>
      </c>
      <c r="T23" s="10">
        <f>INDEX(DriversGams!$A$5:$AN$23,MATCH(Drivers!$A23,DriversGams!$A$5:$A$23,0),MATCH(Drivers!T$3,DriversGams!$A$5:$AN$5,0))</f>
        <v>46.96</v>
      </c>
      <c r="U23" s="10">
        <f>INDEX(DriversGams!$A$5:$AN$23,MATCH(Drivers!$A23,DriversGams!$A$5:$A$23,0),MATCH(Drivers!U$3,DriversGams!$A$5:$AN$5,0))</f>
        <v>43.51</v>
      </c>
      <c r="V23" s="10">
        <f>INDEX(DriversGams!$A$5:$AN$23,MATCH(Drivers!$A23,DriversGams!$A$5:$A$23,0),MATCH(Drivers!V$3,DriversGams!$A$5:$AN$5,0))</f>
        <v>43.76</v>
      </c>
      <c r="W23" s="10">
        <f>INDEX(DriversGams!$A$5:$AN$23,MATCH(Drivers!$A23,DriversGams!$A$5:$A$23,0),MATCH(Drivers!W$3,DriversGams!$A$5:$AN$5,0))</f>
        <v>42.68</v>
      </c>
      <c r="X23" s="10">
        <f>INDEX(DriversGams!$A$5:$AN$23,MATCH(Drivers!$A23,DriversGams!$A$5:$A$23,0),MATCH(Drivers!X$3,DriversGams!$A$5:$AN$5,0))</f>
        <v>42.31</v>
      </c>
      <c r="Y23" s="10">
        <f>INDEX(DriversGams!$A$5:$AN$23,MATCH(Drivers!$A23,DriversGams!$A$5:$A$23,0),MATCH(Drivers!Y$3,DriversGams!$A$5:$AN$5,0))</f>
        <v>41.94</v>
      </c>
      <c r="Z23" s="10">
        <f>INDEX(DriversGams!$A$5:$AN$23,MATCH(Drivers!$A23,DriversGams!$A$5:$A$23,0),MATCH(Drivers!Z$3,DriversGams!$A$5:$AN$5,0))</f>
        <v>41.15</v>
      </c>
      <c r="AA23" s="10">
        <f>INDEX(DriversGams!$A$5:$AN$23,MATCH(Drivers!$A23,DriversGams!$A$5:$A$23,0),MATCH(Drivers!AA$3,DriversGams!$A$5:$AN$5,0))</f>
        <v>39.86</v>
      </c>
      <c r="AB23" s="10">
        <f>INDEX(DriversGams!$A$5:$AN$23,MATCH(Drivers!$A23,DriversGams!$A$5:$A$23,0),MATCH(Drivers!AB$3,DriversGams!$A$5:$AN$5,0))</f>
        <v>38.57</v>
      </c>
      <c r="AC23" s="10">
        <f>INDEX(DriversGams!$A$5:$AN$23,MATCH(Drivers!$A23,DriversGams!$A$5:$A$23,0),MATCH(Drivers!AC$3,DriversGams!$A$5:$AN$5,0))</f>
        <v>37.28</v>
      </c>
      <c r="AD23" s="10">
        <f>INDEX(DriversGams!$A$5:$AN$23,MATCH(Drivers!$A23,DriversGams!$A$5:$A$23,0),MATCH(Drivers!AD$3,DriversGams!$A$5:$AN$5,0))</f>
        <v>36</v>
      </c>
      <c r="AE23" s="10">
        <f>INDEX(DriversGams!$A$5:$AN$23,MATCH(Drivers!$A23,DriversGams!$A$5:$A$23,0),MATCH(Drivers!AE$3,DriversGams!$A$5:$AN$5,0))</f>
        <v>34.71</v>
      </c>
      <c r="AF23" s="10">
        <f>INDEX(DriversGams!$A$5:$AN$23,MATCH(Drivers!$A23,DriversGams!$A$5:$A$23,0),MATCH(Drivers!AF$3,DriversGams!$A$5:$AN$5,0))</f>
        <v>35.450000000000003</v>
      </c>
      <c r="AG23" s="10">
        <f>INDEX(DriversGams!$A$5:$AN$23,MATCH(Drivers!$A23,DriversGams!$A$5:$A$23,0),MATCH(Drivers!AG$3,DriversGams!$A$5:$AN$5,0))</f>
        <v>36.93</v>
      </c>
      <c r="AH23" s="126"/>
      <c r="AI23" s="126"/>
      <c r="AJ23" s="126"/>
      <c r="AK23" s="126"/>
      <c r="AL23" s="126"/>
      <c r="AM23" s="126"/>
    </row>
    <row r="24" spans="1:41" s="185" customFormat="1">
      <c r="A24" s="134" t="s">
        <v>529</v>
      </c>
      <c r="B24" s="185">
        <f t="shared" si="1"/>
        <v>18</v>
      </c>
      <c r="C24" s="10">
        <f>INDEX(DriversGams!$A$5:$AN$23,MATCH(Drivers!$A24,DriversGams!$A$5:$A$23,0),MATCH(Drivers!C$3,DriversGams!$A$5:$AN$5,0))</f>
        <v>84.25</v>
      </c>
      <c r="D24" s="10">
        <f>INDEX(DriversGams!$A$5:$AN$23,MATCH(Drivers!$A24,DriversGams!$A$5:$A$23,0),MATCH(Drivers!D$3,DriversGams!$A$5:$AN$5,0))</f>
        <v>83.73</v>
      </c>
      <c r="E24" s="10">
        <f>INDEX(DriversGams!$A$5:$AN$23,MATCH(Drivers!$A24,DriversGams!$A$5:$A$23,0),MATCH(Drivers!E$3,DriversGams!$A$5:$AN$5,0))</f>
        <v>83.25</v>
      </c>
      <c r="F24" s="10">
        <f>INDEX(DriversGams!$A$5:$AN$23,MATCH(Drivers!$A24,DriversGams!$A$5:$A$23,0),MATCH(Drivers!F$3,DriversGams!$A$5:$AN$5,0))</f>
        <v>82.69</v>
      </c>
      <c r="G24" s="10">
        <f>INDEX(DriversGams!$A$5:$AN$23,MATCH(Drivers!$A24,DriversGams!$A$5:$A$23,0),MATCH(Drivers!G$3,DriversGams!$A$5:$AN$5,0))</f>
        <v>81.209999999999994</v>
      </c>
      <c r="H24" s="10">
        <f>INDEX(DriversGams!$A$5:$AN$23,MATCH(Drivers!$A24,DriversGams!$A$5:$A$23,0),MATCH(Drivers!H$3,DriversGams!$A$5:$AN$5,0))</f>
        <v>80.83</v>
      </c>
      <c r="I24" s="10">
        <f>INDEX(DriversGams!$A$5:$AN$23,MATCH(Drivers!$A24,DriversGams!$A$5:$A$23,0),MATCH(Drivers!I$3,DriversGams!$A$5:$AN$5,0))</f>
        <v>80.180000000000007</v>
      </c>
      <c r="J24" s="10">
        <f>INDEX(DriversGams!$A$5:$AN$23,MATCH(Drivers!$A24,DriversGams!$A$5:$A$23,0),MATCH(Drivers!J$3,DriversGams!$A$5:$AN$5,0))</f>
        <v>78.209999999999994</v>
      </c>
      <c r="K24" s="10">
        <f>INDEX(DriversGams!$A$5:$AN$23,MATCH(Drivers!$A24,DriversGams!$A$5:$A$23,0),MATCH(Drivers!K$3,DriversGams!$A$5:$AN$5,0))</f>
        <v>76.040000000000006</v>
      </c>
      <c r="L24" s="10">
        <f>INDEX(DriversGams!$A$5:$AN$23,MATCH(Drivers!$A24,DriversGams!$A$5:$A$23,0),MATCH(Drivers!L$3,DriversGams!$A$5:$AN$5,0))</f>
        <v>77.260000000000005</v>
      </c>
      <c r="M24" s="10">
        <f>INDEX(DriversGams!$A$5:$AN$23,MATCH(Drivers!$A24,DriversGams!$A$5:$A$23,0),MATCH(Drivers!M$3,DriversGams!$A$5:$AN$5,0))</f>
        <v>76.540000000000006</v>
      </c>
      <c r="N24" s="10">
        <f>INDEX(DriversGams!$A$5:$AN$23,MATCH(Drivers!$A24,DriversGams!$A$5:$A$23,0),MATCH(Drivers!N$3,DriversGams!$A$5:$AN$5,0))</f>
        <v>77.84</v>
      </c>
      <c r="O24" s="10">
        <f>INDEX(DriversGams!$A$5:$AN$23,MATCH(Drivers!$A24,DriversGams!$A$5:$A$23,0),MATCH(Drivers!O$3,DriversGams!$A$5:$AN$5,0))</f>
        <v>78.83</v>
      </c>
      <c r="P24" s="10">
        <f>INDEX(DriversGams!$A$5:$AN$23,MATCH(Drivers!$A24,DriversGams!$A$5:$A$23,0),MATCH(Drivers!P$3,DriversGams!$A$5:$AN$5,0))</f>
        <v>79.89</v>
      </c>
      <c r="Q24" s="10">
        <f>INDEX(DriversGams!$A$5:$AN$23,MATCH(Drivers!$A24,DriversGams!$A$5:$A$23,0),MATCH(Drivers!Q$3,DriversGams!$A$5:$AN$5,0))</f>
        <v>81.33</v>
      </c>
      <c r="R24" s="10">
        <f>INDEX(DriversGams!$A$5:$AN$23,MATCH(Drivers!$A24,DriversGams!$A$5:$A$23,0),MATCH(Drivers!R$3,DriversGams!$A$5:$AN$5,0))</f>
        <v>83.16</v>
      </c>
      <c r="S24" s="10">
        <f>INDEX(DriversGams!$A$5:$AN$23,MATCH(Drivers!$A24,DriversGams!$A$5:$A$23,0),MATCH(Drivers!S$3,DriversGams!$A$5:$AN$5,0))</f>
        <v>84.74</v>
      </c>
      <c r="T24" s="10">
        <f>INDEX(DriversGams!$A$5:$AN$23,MATCH(Drivers!$A24,DriversGams!$A$5:$A$23,0),MATCH(Drivers!T$3,DriversGams!$A$5:$AN$5,0))</f>
        <v>87.09</v>
      </c>
      <c r="U24" s="10">
        <f>INDEX(DriversGams!$A$5:$AN$23,MATCH(Drivers!$A24,DriversGams!$A$5:$A$23,0),MATCH(Drivers!U$3,DriversGams!$A$5:$AN$5,0))</f>
        <v>89.18</v>
      </c>
      <c r="V24" s="10">
        <f>INDEX(DriversGams!$A$5:$AN$23,MATCH(Drivers!$A24,DriversGams!$A$5:$A$23,0),MATCH(Drivers!V$3,DriversGams!$A$5:$AN$5,0))</f>
        <v>91.58</v>
      </c>
      <c r="W24" s="10">
        <f>INDEX(DriversGams!$A$5:$AN$23,MATCH(Drivers!$A24,DriversGams!$A$5:$A$23,0),MATCH(Drivers!W$3,DriversGams!$A$5:$AN$5,0))</f>
        <v>93.3</v>
      </c>
      <c r="X24" s="10">
        <f>INDEX(DriversGams!$A$5:$AN$23,MATCH(Drivers!$A24,DriversGams!$A$5:$A$23,0),MATCH(Drivers!X$3,DriversGams!$A$5:$AN$5,0))</f>
        <v>95.88</v>
      </c>
      <c r="Y24" s="10">
        <f>INDEX(DriversGams!$A$5:$AN$23,MATCH(Drivers!$A24,DriversGams!$A$5:$A$23,0),MATCH(Drivers!Y$3,DriversGams!$A$5:$AN$5,0))</f>
        <v>98.58</v>
      </c>
      <c r="Z24" s="10">
        <f>INDEX(DriversGams!$A$5:$AN$23,MATCH(Drivers!$A24,DriversGams!$A$5:$A$23,0),MATCH(Drivers!Z$3,DriversGams!$A$5:$AN$5,0))</f>
        <v>102.12</v>
      </c>
      <c r="AA24" s="10">
        <f>INDEX(DriversGams!$A$5:$AN$23,MATCH(Drivers!$A24,DriversGams!$A$5:$A$23,0),MATCH(Drivers!AA$3,DriversGams!$A$5:$AN$5,0))</f>
        <v>104.15</v>
      </c>
      <c r="AB24" s="10">
        <f>INDEX(DriversGams!$A$5:$AN$23,MATCH(Drivers!$A24,DriversGams!$A$5:$A$23,0),MATCH(Drivers!AB$3,DriversGams!$A$5:$AN$5,0))</f>
        <v>106.44</v>
      </c>
      <c r="AC24" s="10">
        <f>INDEX(DriversGams!$A$5:$AN$23,MATCH(Drivers!$A24,DriversGams!$A$5:$A$23,0),MATCH(Drivers!AC$3,DriversGams!$A$5:$AN$5,0))</f>
        <v>108.7</v>
      </c>
      <c r="AD24" s="10">
        <f>INDEX(DriversGams!$A$5:$AN$23,MATCH(Drivers!$A24,DriversGams!$A$5:$A$23,0),MATCH(Drivers!AD$3,DriversGams!$A$5:$AN$5,0))</f>
        <v>110.96</v>
      </c>
      <c r="AE24" s="10">
        <f>INDEX(DriversGams!$A$5:$AN$23,MATCH(Drivers!$A24,DriversGams!$A$5:$A$23,0),MATCH(Drivers!AE$3,DriversGams!$A$5:$AN$5,0))</f>
        <v>113.25</v>
      </c>
      <c r="AF24" s="10">
        <f>INDEX(DriversGams!$A$5:$AN$23,MATCH(Drivers!$A24,DriversGams!$A$5:$A$23,0),MATCH(Drivers!AF$3,DriversGams!$A$5:$AN$5,0))</f>
        <v>128.13</v>
      </c>
      <c r="AG24" s="10">
        <f>INDEX(DriversGams!$A$5:$AN$23,MATCH(Drivers!$A24,DriversGams!$A$5:$A$23,0),MATCH(Drivers!AG$3,DriversGams!$A$5:$AN$5,0))</f>
        <v>146.85</v>
      </c>
      <c r="AH24" s="126"/>
      <c r="AI24" s="126"/>
      <c r="AJ24" s="126"/>
      <c r="AK24" s="126"/>
      <c r="AL24" s="126"/>
      <c r="AM24" s="126"/>
    </row>
    <row r="25" spans="1:41">
      <c r="A25" s="5" t="s">
        <v>5</v>
      </c>
      <c r="B25" s="185">
        <f t="shared" si="1"/>
        <v>19</v>
      </c>
      <c r="C25" s="127">
        <f>SUM(C7:C24)</f>
        <v>2893.5800000000004</v>
      </c>
      <c r="D25" s="127">
        <f>SUM(D7:D24)</f>
        <v>2965.2699999999995</v>
      </c>
      <c r="E25" s="127">
        <f t="shared" ref="E25:AG25" si="3">SUM(E7:E24)</f>
        <v>3020.9599999999996</v>
      </c>
      <c r="F25" s="127">
        <f t="shared" si="3"/>
        <v>3059.4500000000003</v>
      </c>
      <c r="G25" s="127">
        <f t="shared" si="3"/>
        <v>3083.9200000000005</v>
      </c>
      <c r="H25" s="127">
        <f t="shared" si="3"/>
        <v>3120.5399999999995</v>
      </c>
      <c r="I25" s="127">
        <f t="shared" si="3"/>
        <v>3152.2400000000002</v>
      </c>
      <c r="J25" s="127">
        <f t="shared" si="3"/>
        <v>3179.29</v>
      </c>
      <c r="K25" s="127">
        <f t="shared" si="3"/>
        <v>2948.9199999999996</v>
      </c>
      <c r="L25" s="127">
        <f t="shared" si="3"/>
        <v>3014.3800000000006</v>
      </c>
      <c r="M25" s="127">
        <f t="shared" si="3"/>
        <v>3077.2000000000003</v>
      </c>
      <c r="N25" s="127">
        <f t="shared" si="3"/>
        <v>3140.61</v>
      </c>
      <c r="O25" s="127">
        <f t="shared" si="3"/>
        <v>3201.7699999999995</v>
      </c>
      <c r="P25" s="127">
        <f t="shared" si="3"/>
        <v>3265.5400000000009</v>
      </c>
      <c r="Q25" s="127">
        <f t="shared" si="3"/>
        <v>3341.2800000000007</v>
      </c>
      <c r="R25" s="127">
        <f t="shared" si="3"/>
        <v>3416.2799999999997</v>
      </c>
      <c r="S25" s="127">
        <f t="shared" si="3"/>
        <v>3494.8800000000006</v>
      </c>
      <c r="T25" s="127">
        <f t="shared" si="3"/>
        <v>3576.08</v>
      </c>
      <c r="U25" s="127">
        <f t="shared" si="3"/>
        <v>3660.12</v>
      </c>
      <c r="V25" s="127">
        <f t="shared" si="3"/>
        <v>3761.0299999999997</v>
      </c>
      <c r="W25" s="127">
        <f t="shared" si="3"/>
        <v>3857.2</v>
      </c>
      <c r="X25" s="127">
        <f t="shared" si="3"/>
        <v>3964.01</v>
      </c>
      <c r="Y25" s="127">
        <f t="shared" si="3"/>
        <v>4078.2199999999993</v>
      </c>
      <c r="Z25" s="127">
        <f t="shared" si="3"/>
        <v>4200.2899999999991</v>
      </c>
      <c r="AA25" s="127">
        <f t="shared" si="3"/>
        <v>4325.9699999999993</v>
      </c>
      <c r="AB25" s="127">
        <f t="shared" si="3"/>
        <v>4456.9999999999991</v>
      </c>
      <c r="AC25" s="127">
        <f t="shared" si="3"/>
        <v>4590.0299999999988</v>
      </c>
      <c r="AD25" s="127">
        <f t="shared" si="3"/>
        <v>4728.5300000000016</v>
      </c>
      <c r="AE25" s="127">
        <f t="shared" si="3"/>
        <v>4875.51</v>
      </c>
      <c r="AF25" s="127">
        <f t="shared" si="3"/>
        <v>5709.9300000000012</v>
      </c>
      <c r="AG25" s="127">
        <f t="shared" si="3"/>
        <v>6747.130000000001</v>
      </c>
      <c r="AH25" s="127"/>
      <c r="AI25" s="127"/>
      <c r="AJ25" s="127"/>
      <c r="AK25" s="127"/>
      <c r="AL25" s="127"/>
      <c r="AM25" s="127"/>
    </row>
    <row r="26" spans="1:41" s="33" customFormat="1">
      <c r="A26" s="249" t="s">
        <v>279</v>
      </c>
      <c r="B26" s="185">
        <f t="shared" si="1"/>
        <v>20</v>
      </c>
      <c r="C26" s="249"/>
      <c r="D26" s="250">
        <f>D25/C25-1</f>
        <v>2.4775537569377448E-2</v>
      </c>
      <c r="E26" s="250">
        <f t="shared" ref="E26:AE26" si="4">E25/D25-1</f>
        <v>1.8780751837100818E-2</v>
      </c>
      <c r="F26" s="250">
        <f t="shared" si="4"/>
        <v>1.2740982998782124E-2</v>
      </c>
      <c r="G26" s="250">
        <f t="shared" si="4"/>
        <v>7.9981696056481422E-3</v>
      </c>
      <c r="H26" s="250">
        <f t="shared" si="4"/>
        <v>1.1874497392928118E-2</v>
      </c>
      <c r="I26" s="250">
        <f t="shared" si="4"/>
        <v>1.0158498208643563E-2</v>
      </c>
      <c r="J26" s="250">
        <f t="shared" si="4"/>
        <v>8.581199401060724E-3</v>
      </c>
      <c r="K26" s="250">
        <f t="shared" si="4"/>
        <v>-7.2459574307471297E-2</v>
      </c>
      <c r="L26" s="250">
        <f t="shared" si="4"/>
        <v>2.2197957218236253E-2</v>
      </c>
      <c r="M26" s="250">
        <f t="shared" si="4"/>
        <v>2.0840106423211324E-2</v>
      </c>
      <c r="N26" s="250">
        <f t="shared" si="4"/>
        <v>2.0606395424411783E-2</v>
      </c>
      <c r="O26" s="250">
        <f t="shared" si="4"/>
        <v>1.9473923855556574E-2</v>
      </c>
      <c r="P26" s="250">
        <f t="shared" si="4"/>
        <v>1.9917108349444712E-2</v>
      </c>
      <c r="Q26" s="250">
        <f t="shared" si="4"/>
        <v>2.3193713750252476E-2</v>
      </c>
      <c r="R26" s="250">
        <f t="shared" si="4"/>
        <v>2.2446487573624108E-2</v>
      </c>
      <c r="S26" s="250">
        <f t="shared" si="4"/>
        <v>2.3007481822333364E-2</v>
      </c>
      <c r="T26" s="250">
        <f t="shared" si="4"/>
        <v>2.3233988005310513E-2</v>
      </c>
      <c r="U26" s="250">
        <f t="shared" si="4"/>
        <v>2.3500592827900846E-2</v>
      </c>
      <c r="V26" s="250">
        <f t="shared" si="4"/>
        <v>2.7570134312536076E-2</v>
      </c>
      <c r="W26" s="250">
        <f t="shared" si="4"/>
        <v>2.5570123077986562E-2</v>
      </c>
      <c r="X26" s="250">
        <f t="shared" si="4"/>
        <v>2.7691071243389098E-2</v>
      </c>
      <c r="Y26" s="250">
        <f t="shared" si="4"/>
        <v>2.8811733572821296E-2</v>
      </c>
      <c r="Z26" s="250">
        <f t="shared" si="4"/>
        <v>2.9932176292598145E-2</v>
      </c>
      <c r="AA26" s="250">
        <f t="shared" si="4"/>
        <v>2.9921743498663167E-2</v>
      </c>
      <c r="AB26" s="250">
        <f t="shared" si="4"/>
        <v>3.0289160581326247E-2</v>
      </c>
      <c r="AC26" s="250">
        <f t="shared" si="4"/>
        <v>2.9847431007403946E-2</v>
      </c>
      <c r="AD26" s="250">
        <f t="shared" si="4"/>
        <v>3.0174094722692946E-2</v>
      </c>
      <c r="AE26" s="250">
        <f t="shared" si="4"/>
        <v>3.1083656019946782E-2</v>
      </c>
      <c r="AF26" s="250">
        <f>(AF25/AE25)^(1/5)-1</f>
        <v>3.2100875651971617E-2</v>
      </c>
      <c r="AG26" s="250">
        <f>(AG25/AF25)^(1/5)-1</f>
        <v>3.3945527099760175E-2</v>
      </c>
      <c r="AH26" s="249"/>
      <c r="AI26" s="249"/>
      <c r="AJ26" s="249"/>
      <c r="AK26" s="249"/>
      <c r="AL26" s="249"/>
      <c r="AM26" s="249"/>
    </row>
    <row r="27" spans="1:41">
      <c r="A27" s="4" t="s">
        <v>614</v>
      </c>
      <c r="B27" s="185">
        <f t="shared" si="1"/>
        <v>21</v>
      </c>
      <c r="C27" s="126">
        <f>INDEX(DriversGams!$A$43:$AN$43,1,MATCH(Drivers!C$3,DriversGams!$A$42:$AN$42,0))/1000</f>
        <v>52.325432882070082</v>
      </c>
      <c r="D27" s="126">
        <f>INDEX(DriversGams!$A$43:$AN$43,1,MATCH(Drivers!D$3,DriversGams!$A$42:$AN$42,0))/1000</f>
        <v>53.104386458423342</v>
      </c>
      <c r="E27" s="126">
        <f>INDEX(DriversGams!$A$43:$AN$43,1,MATCH(Drivers!E$3,DriversGams!$A$42:$AN$42,0))/1000</f>
        <v>53.912365691429272</v>
      </c>
      <c r="F27" s="126">
        <f>INDEX(DriversGams!$A$43:$AN$43,1,MATCH(Drivers!F$3,DriversGams!$A$42:$AN$42,0))/1000</f>
        <v>54.750491457321111</v>
      </c>
      <c r="G27" s="126">
        <f>INDEX(DriversGams!$A$43:$AN$43,1,MATCH(Drivers!G$3,DriversGams!$A$42:$AN$42,0))/1000</f>
        <v>55.619940469824826</v>
      </c>
      <c r="H27" s="126">
        <f>INDEX(DriversGams!$A$43:$AN$43,1,MATCH(Drivers!H$3,DriversGams!$A$42:$AN$42,0))/1000</f>
        <v>56.521948041648095</v>
      </c>
      <c r="I27" s="126">
        <f>INDEX(DriversGams!$A$43:$AN$43,1,MATCH(Drivers!I$3,DriversGams!$A$42:$AN$42,0))/1000</f>
        <v>57.436000617299655</v>
      </c>
      <c r="J27" s="126">
        <f>INDEX(DriversGams!$A$43:$AN$43,1,MATCH(Drivers!J$3,DriversGams!$A$42:$AN$42,0))/1000</f>
        <v>58.364834921819444</v>
      </c>
      <c r="K27" s="126">
        <f>INDEX(DriversGams!$A$43:$AN$43,1,MATCH(Drivers!K$3,DriversGams!$A$42:$AN$42,0))/1000</f>
        <v>59.308690000000006</v>
      </c>
      <c r="L27" s="126">
        <f>INDEX(DriversGams!$A$43:$AN$43,1,MATCH(Drivers!L$3,DriversGams!$A$42:$AN$42,0))/1000</f>
        <v>59.991580449204264</v>
      </c>
      <c r="M27" s="126">
        <f>INDEX(DriversGams!$A$43:$AN$43,1,MATCH(Drivers!M$3,DriversGams!$A$42:$AN$42,0))/1000</f>
        <v>60.682333816399378</v>
      </c>
      <c r="N27" s="126">
        <f>INDEX(DriversGams!$A$43:$AN$43,1,MATCH(Drivers!N$3,DriversGams!$A$42:$AN$42,0))/1000</f>
        <v>61.381040636574369</v>
      </c>
      <c r="O27" s="126">
        <f>INDEX(DriversGams!$A$43:$AN$43,1,MATCH(Drivers!O$3,DriversGams!$A$42:$AN$42,0))/1000</f>
        <v>62.087792487153699</v>
      </c>
      <c r="P27" s="126">
        <f>INDEX(DriversGams!$A$43:$AN$43,1,MATCH(Drivers!P$3,DriversGams!$A$42:$AN$42,0))/1000</f>
        <v>62.802682000000026</v>
      </c>
      <c r="Q27" s="126">
        <f>INDEX(DriversGams!$A$43:$AN$43,1,MATCH(Drivers!Q$3,DriversGams!$A$42:$AN$42,0))/1000</f>
        <v>63.421065342005143</v>
      </c>
      <c r="R27" s="126">
        <f>INDEX(DriversGams!$A$43:$AN$43,1,MATCH(Drivers!R$3,DriversGams!$A$42:$AN$42,0))/1000</f>
        <v>64.045537563425796</v>
      </c>
      <c r="S27" s="126">
        <f>INDEX(DriversGams!$A$43:$AN$43,1,MATCH(Drivers!S$3,DriversGams!$A$42:$AN$42,0))/1000</f>
        <v>64.676158618096451</v>
      </c>
      <c r="T27" s="126">
        <f>INDEX(DriversGams!$A$43:$AN$43,1,MATCH(Drivers!T$3,DriversGams!$A$42:$AN$42,0))/1000</f>
        <v>65.31298905018393</v>
      </c>
      <c r="U27" s="126">
        <f>INDEX(DriversGams!$A$43:$AN$43,1,MATCH(Drivers!U$3,DriversGams!$A$42:$AN$42,0))/1000</f>
        <v>65.956090000000003</v>
      </c>
      <c r="V27" s="126">
        <f>INDEX(DriversGams!$A$43:$AN$43,1,MATCH(Drivers!V$3,DriversGams!$A$42:$AN$42,0))/1000</f>
        <v>66.518977190687664</v>
      </c>
      <c r="W27" s="126">
        <f>INDEX(DriversGams!$A$43:$AN$43,1,MATCH(Drivers!W$3,DriversGams!$A$42:$AN$42,0))/1000</f>
        <v>67.08666821358311</v>
      </c>
      <c r="X27" s="126">
        <f>INDEX(DriversGams!$A$43:$AN$43,1,MATCH(Drivers!X$3,DriversGams!$A$42:$AN$42,0))/1000</f>
        <v>67.659204065895452</v>
      </c>
      <c r="Y27" s="126">
        <f>INDEX(DriversGams!$A$43:$AN$43,1,MATCH(Drivers!Y$3,DriversGams!$A$42:$AN$42,0))/1000</f>
        <v>68.236626094715163</v>
      </c>
      <c r="Z27" s="126">
        <f>INDEX(DriversGams!$A$43:$AN$43,1,MATCH(Drivers!Z$3,DriversGams!$A$42:$AN$42,0))/1000</f>
        <v>68.818976000000006</v>
      </c>
      <c r="AA27" s="126">
        <f>INDEX(DriversGams!$A$43:$AN$43,1,MATCH(Drivers!AA$3,DriversGams!$A$42:$AN$42,0))/1000</f>
        <v>69.322810489383542</v>
      </c>
      <c r="AB27" s="126">
        <f>INDEX(DriversGams!$A$43:$AN$43,1,MATCH(Drivers!AB$3,DriversGams!$A$42:$AN$42,0))/1000</f>
        <v>69.830333629884052</v>
      </c>
      <c r="AC27" s="126">
        <f>INDEX(DriversGams!$A$43:$AN$43,1,MATCH(Drivers!AC$3,DriversGams!$A$42:$AN$42,0))/1000</f>
        <v>70.341572426693446</v>
      </c>
      <c r="AD27" s="126">
        <f>INDEX(DriversGams!$A$43:$AN$43,1,MATCH(Drivers!AD$3,DriversGams!$A$42:$AN$42,0))/1000</f>
        <v>70.856554082712819</v>
      </c>
      <c r="AE27" s="126">
        <f>INDEX(DriversGams!$A$43:$AN$43,1,MATCH(Drivers!AE$3,DriversGams!$A$42:$AN$42,0))/1000</f>
        <v>71.375305999999995</v>
      </c>
      <c r="AF27" s="126">
        <f>INDEX(DriversGams!$A$43:$AN$43,1,MATCH(Drivers!AF$3,DriversGams!$A$42:$AN$42,0))/1000</f>
        <v>73.619545999999971</v>
      </c>
      <c r="AG27" s="126">
        <f>INDEX(DriversGams!$A$43:$AN$43,1,MATCH(Drivers!AG$3,DriversGams!$A$42:$AN$42,0))/1000</f>
        <v>75.517908999999989</v>
      </c>
      <c r="AH27" s="126"/>
      <c r="AI27" s="126"/>
      <c r="AJ27" s="126"/>
      <c r="AK27" s="126"/>
      <c r="AL27" s="126"/>
      <c r="AM27" s="126"/>
    </row>
    <row r="28" spans="1:41">
      <c r="A28" t="s">
        <v>396</v>
      </c>
      <c r="B28" s="185">
        <f t="shared" si="1"/>
        <v>22</v>
      </c>
      <c r="C28" s="24">
        <f>INDEX(DriversGams!$B61:$AN61,1,MATCH(Drivers!C$3,DriversGams!$B$60:$AN$60,0))</f>
        <v>0.50003199863472492</v>
      </c>
      <c r="D28" s="24">
        <f>INDEX(DriversGams!$B61:$AN61,1,MATCH(Drivers!D$3,DriversGams!$B$60:$AN$60,0))</f>
        <v>0.49674335943460585</v>
      </c>
      <c r="E28" s="24">
        <f>INDEX(DriversGams!$B61:$AN61,1,MATCH(Drivers!E$3,DriversGams!$B$60:$AN$60,0))</f>
        <v>0.48822868689454441</v>
      </c>
      <c r="F28" s="24">
        <f>INDEX(DriversGams!$B61:$AN61,1,MATCH(Drivers!F$3,DriversGams!$B$60:$AN$60,0))</f>
        <v>0.48147500627885365</v>
      </c>
      <c r="G28" s="24">
        <f>INDEX(DriversGams!$B61:$AN61,1,MATCH(Drivers!G$3,DriversGams!$B$60:$AN$60,0))</f>
        <v>0.47737656478533347</v>
      </c>
      <c r="H28" s="24">
        <f>INDEX(DriversGams!$B61:$AN61,1,MATCH(Drivers!H$3,DriversGams!$B$60:$AN$60,0))</f>
        <v>0.47023794558911891</v>
      </c>
      <c r="I28" s="24">
        <f>INDEX(DriversGams!$B61:$AN61,1,MATCH(Drivers!I$3,DriversGams!$B$60:$AN$60,0))</f>
        <v>0.46353394236211087</v>
      </c>
      <c r="J28" s="24">
        <f>INDEX(DriversGams!$B61:$AN61,1,MATCH(Drivers!J$3,DriversGams!$B$60:$AN$60,0))</f>
        <v>0.46108769196199162</v>
      </c>
      <c r="K28" s="24">
        <f>INDEX(DriversGams!$B61:$AN61,1,MATCH(Drivers!K$3,DriversGams!$B$60:$AN$60,0))</f>
        <v>0.47398769619141334</v>
      </c>
      <c r="L28" s="24">
        <f>INDEX(DriversGams!$B61:$AN61,1,MATCH(Drivers!L$3,DriversGams!$B$60:$AN$60,0))</f>
        <v>0.48802294893321585</v>
      </c>
      <c r="M28" s="24">
        <f>INDEX(DriversGams!$B61:$AN61,1,MATCH(Drivers!M$3,DriversGams!$B$60:$AN$60,0))</f>
        <v>0.48160744524963783</v>
      </c>
      <c r="N28" s="24">
        <f>INDEX(DriversGams!$B61:$AN61,1,MATCH(Drivers!N$3,DriversGams!$B$60:$AN$60,0))</f>
        <v>0.47529731801684205</v>
      </c>
      <c r="O28" s="24">
        <f>INDEX(DriversGams!$B61:$AN61,1,MATCH(Drivers!O$3,DriversGams!$B$60:$AN$60,0))</f>
        <v>0.4689535605229086</v>
      </c>
      <c r="P28" s="24">
        <f>INDEX(DriversGams!$B61:$AN61,1,MATCH(Drivers!P$3,DriversGams!$B$60:$AN$60,0))</f>
        <v>0.46306118439391969</v>
      </c>
      <c r="Q28" s="24">
        <f>INDEX(DriversGams!$B61:$AN61,1,MATCH(Drivers!Q$3,DriversGams!$B$60:$AN$60,0))</f>
        <v>0.4555068405538002</v>
      </c>
      <c r="R28" s="24">
        <f>INDEX(DriversGams!$B61:$AN61,1,MATCH(Drivers!R$3,DriversGams!$B$60:$AN$60,0))</f>
        <v>0.44739940977174142</v>
      </c>
      <c r="S28" s="24">
        <f>INDEX(DriversGams!$B61:$AN61,1,MATCH(Drivers!S$3,DriversGams!$B$60:$AN$60,0))</f>
        <v>0.43930961502928784</v>
      </c>
      <c r="T28" s="24">
        <f>INDEX(DriversGams!$B61:$AN61,1,MATCH(Drivers!T$3,DriversGams!$B$60:$AN$60,0))</f>
        <v>0.43052643049427919</v>
      </c>
      <c r="U28" s="24">
        <f>INDEX(DriversGams!$B61:$AN61,1,MATCH(Drivers!U$3,DriversGams!$B$60:$AN$60,0))</f>
        <v>0.42216842844292707</v>
      </c>
      <c r="V28" s="24">
        <f>INDEX(DriversGams!$B61:$AN61,1,MATCH(Drivers!V$3,DriversGams!$B$60:$AN$60,0))</f>
        <v>0.4135496006513194</v>
      </c>
      <c r="W28" s="24">
        <f>INDEX(DriversGams!$B61:$AN61,1,MATCH(Drivers!W$3,DriversGams!$B$60:$AN$60,0))</f>
        <v>0.40521721442606407</v>
      </c>
      <c r="X28" s="24">
        <f>INDEX(DriversGams!$B61:$AN61,1,MATCH(Drivers!X$3,DriversGams!$B$60:$AN$60,0))</f>
        <v>0.39683874390439688</v>
      </c>
      <c r="Y28" s="24">
        <f>INDEX(DriversGams!$B61:$AN61,1,MATCH(Drivers!Y$3,DriversGams!$B$60:$AN$60,0))</f>
        <v>0.38789767317654972</v>
      </c>
      <c r="Z28" s="24">
        <f>INDEX(DriversGams!$B61:$AN61,1,MATCH(Drivers!Z$3,DriversGams!$B$60:$AN$60,0))</f>
        <v>0.37860953755372506</v>
      </c>
      <c r="AA28" s="24">
        <f>INDEX(DriversGams!$B61:$AN61,1,MATCH(Drivers!AA$3,DriversGams!$B$60:$AN$60,0))</f>
        <v>0.3694539819598327</v>
      </c>
      <c r="AB28" s="24">
        <f>INDEX(DriversGams!$B61:$AN61,1,MATCH(Drivers!AB$3,DriversGams!$B$60:$AN$60,0))</f>
        <v>0.36068644391934845</v>
      </c>
      <c r="AC28" s="24">
        <f>INDEX(DriversGams!$B61:$AN61,1,MATCH(Drivers!AC$3,DriversGams!$B$60:$AN$60,0))</f>
        <v>0.35227821304680329</v>
      </c>
      <c r="AD28" s="24">
        <f>INDEX(DriversGams!$B61:$AN61,1,MATCH(Drivers!AD$3,DriversGams!$B$60:$AN$60,0))</f>
        <v>0.34415250138874304</v>
      </c>
      <c r="AE28" s="24">
        <f>INDEX(DriversGams!$B61:$AN61,1,MATCH(Drivers!AE$3,DriversGams!$B$60:$AN$60,0))</f>
        <v>0.33605734555939903</v>
      </c>
      <c r="AF28" s="24">
        <f>INDEX(DriversGams!$B61:$AN61,1,MATCH(Drivers!AF$3,DriversGams!$B$60:$AN$60,0))</f>
        <v>0.29595650938485324</v>
      </c>
      <c r="AG28" s="24">
        <f>INDEX(DriversGams!$B61:$AN61,1,MATCH(Drivers!AG$3,DriversGams!$B$60:$AN$60,0))</f>
        <v>0.25945257650105208</v>
      </c>
      <c r="AH28" s="126"/>
      <c r="AI28" s="126"/>
      <c r="AJ28" s="126"/>
      <c r="AK28" s="126"/>
      <c r="AL28" s="126"/>
      <c r="AM28" s="126"/>
    </row>
    <row r="29" spans="1:41">
      <c r="A29" s="4" t="s">
        <v>397</v>
      </c>
      <c r="B29" s="185">
        <f t="shared" si="1"/>
        <v>23</v>
      </c>
      <c r="C29" s="24">
        <f>INDEX(DriversGams!$B62:$AN62,1,MATCH(Drivers!C$3,DriversGams!$B$60:$AN$60,0))</f>
        <v>0.30001919918083497</v>
      </c>
      <c r="D29" s="24">
        <f>INDEX(DriversGams!$B62:$AN62,1,MATCH(Drivers!D$3,DriversGams!$B$60:$AN$60,0))</f>
        <v>0.29644362454654938</v>
      </c>
      <c r="E29" s="24">
        <f>INDEX(DriversGams!$B62:$AN62,1,MATCH(Drivers!E$3,DriversGams!$B$60:$AN$60,0))</f>
        <v>0.29989890368726985</v>
      </c>
      <c r="F29" s="24">
        <f>INDEX(DriversGams!$B62:$AN62,1,MATCH(Drivers!F$3,DriversGams!$B$60:$AN$60,0))</f>
        <v>0.30319595185227072</v>
      </c>
      <c r="G29" s="24">
        <f>INDEX(DriversGams!$B62:$AN62,1,MATCH(Drivers!G$3,DriversGams!$B$60:$AN$60,0))</f>
        <v>0.30522800836475233</v>
      </c>
      <c r="H29" s="24">
        <f>INDEX(DriversGams!$B62:$AN62,1,MATCH(Drivers!H$3,DriversGams!$B$60:$AN$60,0))</f>
        <v>0.30605482173653453</v>
      </c>
      <c r="I29" s="24">
        <f>INDEX(DriversGams!$B62:$AN62,1,MATCH(Drivers!I$3,DriversGams!$B$60:$AN$60,0))</f>
        <v>0.30932373575545163</v>
      </c>
      <c r="J29" s="24">
        <f>INDEX(DriversGams!$B62:$AN62,1,MATCH(Drivers!J$3,DriversGams!$B$60:$AN$60,0))</f>
        <v>0.31228368417755731</v>
      </c>
      <c r="K29" s="24">
        <f>INDEX(DriversGams!$B62:$AN62,1,MATCH(Drivers!K$3,DriversGams!$B$60:$AN$60,0))</f>
        <v>0.32375163521226069</v>
      </c>
      <c r="L29" s="24">
        <f>INDEX(DriversGams!$B62:$AN62,1,MATCH(Drivers!L$3,DriversGams!$B$60:$AN$60,0))</f>
        <v>0.30681637697278535</v>
      </c>
      <c r="M29" s="24">
        <f>INDEX(DriversGams!$B62:$AN62,1,MATCH(Drivers!M$3,DriversGams!$B$60:$AN$60,0))</f>
        <v>0.30899051207902728</v>
      </c>
      <c r="N29" s="24">
        <f>INDEX(DriversGams!$B62:$AN62,1,MATCH(Drivers!N$3,DriversGams!$B$60:$AN$60,0))</f>
        <v>0.31073061540438202</v>
      </c>
      <c r="O29" s="24">
        <f>INDEX(DriversGams!$B62:$AN62,1,MATCH(Drivers!O$3,DriversGams!$B$60:$AN$60,0))</f>
        <v>0.31288111144304859</v>
      </c>
      <c r="P29" s="24">
        <f>INDEX(DriversGams!$B62:$AN62,1,MATCH(Drivers!P$3,DriversGams!$B$60:$AN$60,0))</f>
        <v>0.31491255593475925</v>
      </c>
      <c r="Q29" s="24">
        <f>INDEX(DriversGams!$B62:$AN62,1,MATCH(Drivers!Q$3,DriversGams!$B$60:$AN$60,0))</f>
        <v>0.31628939074725432</v>
      </c>
      <c r="R29" s="24">
        <f>INDEX(DriversGams!$B62:$AN62,1,MATCH(Drivers!R$3,DriversGams!$B$60:$AN$60,0))</f>
        <v>0.31847593645969752</v>
      </c>
      <c r="S29" s="24">
        <f>INDEX(DriversGams!$B62:$AN62,1,MATCH(Drivers!S$3,DriversGams!$B$60:$AN$60,0))</f>
        <v>0.32044792827503243</v>
      </c>
      <c r="T29" s="24">
        <f>INDEX(DriversGams!$B62:$AN62,1,MATCH(Drivers!T$3,DriversGams!$B$60:$AN$60,0))</f>
        <v>0.32217124766279381</v>
      </c>
      <c r="U29" s="24">
        <f>INDEX(DriversGams!$B62:$AN62,1,MATCH(Drivers!U$3,DriversGams!$B$60:$AN$60,0))</f>
        <v>0.32472047549482769</v>
      </c>
      <c r="V29" s="24">
        <f>INDEX(DriversGams!$B62:$AN62,1,MATCH(Drivers!V$3,DriversGams!$B$60:$AN$60,0))</f>
        <v>0.32634303861147274</v>
      </c>
      <c r="W29" s="24">
        <f>INDEX(DriversGams!$B62:$AN62,1,MATCH(Drivers!W$3,DriversGams!$B$60:$AN$60,0))</f>
        <v>0.32889986401097365</v>
      </c>
      <c r="X29" s="24">
        <f>INDEX(DriversGams!$B62:$AN62,1,MATCH(Drivers!X$3,DriversGams!$B$60:$AN$60,0))</f>
        <v>0.33081335717795152</v>
      </c>
      <c r="Y29" s="24">
        <f>INDEX(DriversGams!$B62:$AN62,1,MATCH(Drivers!Y$3,DriversGams!$B$60:$AN$60,0))</f>
        <v>0.33290577410474198</v>
      </c>
      <c r="Z29" s="24">
        <f>INDEX(DriversGams!$B62:$AN62,1,MATCH(Drivers!Z$3,DriversGams!$B$60:$AN$60,0))</f>
        <v>0.3350106446536113</v>
      </c>
      <c r="AA29" s="24">
        <f>INDEX(DriversGams!$B62:$AN62,1,MATCH(Drivers!AA$3,DriversGams!$B$60:$AN$60,0))</f>
        <v>0.33736398356282593</v>
      </c>
      <c r="AB29" s="24">
        <f>INDEX(DriversGams!$B62:$AN62,1,MATCH(Drivers!AB$3,DriversGams!$B$60:$AN$60,0))</f>
        <v>0.33948242167787424</v>
      </c>
      <c r="AC29" s="24">
        <f>INDEX(DriversGams!$B62:$AN62,1,MATCH(Drivers!AC$3,DriversGams!$B$60:$AN$60,0))</f>
        <v>0.34168685597597181</v>
      </c>
      <c r="AD29" s="24">
        <f>INDEX(DriversGams!$B62:$AN62,1,MATCH(Drivers!AD$3,DriversGams!$B$60:$AN$60,0))</f>
        <v>0.34372210155141747</v>
      </c>
      <c r="AE29" s="24">
        <f>INDEX(DriversGams!$B62:$AN62,1,MATCH(Drivers!AE$3,DriversGams!$B$60:$AN$60,0))</f>
        <v>0.34569570470434441</v>
      </c>
      <c r="AF29" s="24">
        <f>INDEX(DriversGams!$B62:$AN62,1,MATCH(Drivers!AF$3,DriversGams!$B$60:$AN$60,0))</f>
        <v>0.35353162196051169</v>
      </c>
      <c r="AG29" s="24">
        <f>INDEX(DriversGams!$B62:$AN62,1,MATCH(Drivers!AG$3,DriversGams!$B$60:$AN$60,0))</f>
        <v>0.36180135191051532</v>
      </c>
      <c r="AH29" s="126"/>
      <c r="AI29" s="126"/>
      <c r="AJ29" s="126"/>
      <c r="AK29" s="126"/>
      <c r="AL29" s="126"/>
      <c r="AM29" s="126"/>
    </row>
    <row r="30" spans="1:41">
      <c r="A30" s="4" t="s">
        <v>398</v>
      </c>
      <c r="B30" s="185">
        <f t="shared" si="1"/>
        <v>24</v>
      </c>
      <c r="C30" s="24">
        <f>1-C29-C28</f>
        <v>0.19994880218444011</v>
      </c>
      <c r="D30" s="24">
        <f t="shared" ref="D30:AG30" si="5">1-D29-D28</f>
        <v>0.20681301601884478</v>
      </c>
      <c r="E30" s="24">
        <f t="shared" si="5"/>
        <v>0.21187240941818569</v>
      </c>
      <c r="F30" s="24">
        <f t="shared" si="5"/>
        <v>0.21532904186887569</v>
      </c>
      <c r="G30" s="24">
        <f t="shared" si="5"/>
        <v>0.21739542684991425</v>
      </c>
      <c r="H30" s="24">
        <f t="shared" si="5"/>
        <v>0.22370723267434656</v>
      </c>
      <c r="I30" s="24">
        <f t="shared" si="5"/>
        <v>0.22714232188243744</v>
      </c>
      <c r="J30" s="24">
        <f t="shared" si="5"/>
        <v>0.22662862386045102</v>
      </c>
      <c r="K30" s="24">
        <f t="shared" si="5"/>
        <v>0.20226066859632597</v>
      </c>
      <c r="L30" s="24">
        <f t="shared" si="5"/>
        <v>0.20516067409399874</v>
      </c>
      <c r="M30" s="24">
        <f t="shared" si="5"/>
        <v>0.20940204267133489</v>
      </c>
      <c r="N30" s="24">
        <f t="shared" si="5"/>
        <v>0.21397206657877588</v>
      </c>
      <c r="O30" s="24">
        <f t="shared" si="5"/>
        <v>0.21816532803404287</v>
      </c>
      <c r="P30" s="24">
        <f t="shared" si="5"/>
        <v>0.22202625967132111</v>
      </c>
      <c r="Q30" s="24">
        <f t="shared" si="5"/>
        <v>0.22820376869894543</v>
      </c>
      <c r="R30" s="24">
        <f t="shared" si="5"/>
        <v>0.23412465376856106</v>
      </c>
      <c r="S30" s="24">
        <f t="shared" si="5"/>
        <v>0.24024245669567973</v>
      </c>
      <c r="T30" s="24">
        <f t="shared" si="5"/>
        <v>0.247302321842927</v>
      </c>
      <c r="U30" s="24">
        <f t="shared" si="5"/>
        <v>0.2531110960622453</v>
      </c>
      <c r="V30" s="24">
        <f t="shared" si="5"/>
        <v>0.26010736073720786</v>
      </c>
      <c r="W30" s="24">
        <f t="shared" si="5"/>
        <v>0.26588292156296223</v>
      </c>
      <c r="X30" s="24">
        <f t="shared" si="5"/>
        <v>0.27234789891765165</v>
      </c>
      <c r="Y30" s="24">
        <f t="shared" si="5"/>
        <v>0.2791965527187083</v>
      </c>
      <c r="Z30" s="24">
        <f t="shared" si="5"/>
        <v>0.28637981779266364</v>
      </c>
      <c r="AA30" s="24">
        <f t="shared" si="5"/>
        <v>0.29318203447734137</v>
      </c>
      <c r="AB30" s="24">
        <f t="shared" si="5"/>
        <v>0.29983113440277731</v>
      </c>
      <c r="AC30" s="24">
        <f t="shared" si="5"/>
        <v>0.30603493097722489</v>
      </c>
      <c r="AD30" s="24">
        <f t="shared" si="5"/>
        <v>0.31212539705983949</v>
      </c>
      <c r="AE30" s="24">
        <f t="shared" si="5"/>
        <v>0.31824694973625656</v>
      </c>
      <c r="AF30" s="24">
        <f t="shared" si="5"/>
        <v>0.35051186865463507</v>
      </c>
      <c r="AG30" s="24">
        <f t="shared" si="5"/>
        <v>0.3787460715884326</v>
      </c>
      <c r="AH30" s="126"/>
      <c r="AI30" s="126"/>
      <c r="AJ30" s="126"/>
      <c r="AK30" s="126"/>
      <c r="AL30" s="126"/>
      <c r="AM30" s="126"/>
    </row>
    <row r="31" spans="1:41">
      <c r="A31" t="s">
        <v>399</v>
      </c>
      <c r="B31" s="185">
        <f t="shared" si="1"/>
        <v>25</v>
      </c>
      <c r="C31" s="10">
        <f>C28*C$27</f>
        <v>26.164390783448656</v>
      </c>
      <c r="D31" s="10">
        <f t="shared" ref="D31:AG31" si="6">D28*D$27</f>
        <v>26.379251330070801</v>
      </c>
      <c r="E31" s="10">
        <f t="shared" si="6"/>
        <v>26.321563508905001</v>
      </c>
      <c r="F31" s="10">
        <f t="shared" si="6"/>
        <v>26.360993218184007</v>
      </c>
      <c r="G31" s="10">
        <f t="shared" si="6"/>
        <v>26.55165611504972</v>
      </c>
      <c r="H31" s="10">
        <f t="shared" si="6"/>
        <v>26.578764727799523</v>
      </c>
      <c r="I31" s="10">
        <f t="shared" si="6"/>
        <v>26.623535799649542</v>
      </c>
      <c r="J31" s="10">
        <f t="shared" si="6"/>
        <v>26.911307025844376</v>
      </c>
      <c r="K31" s="10">
        <f t="shared" si="6"/>
        <v>28.111589337230718</v>
      </c>
      <c r="L31" s="10">
        <f t="shared" si="6"/>
        <v>29.277268001984922</v>
      </c>
      <c r="M31" s="10">
        <f t="shared" si="6"/>
        <v>29.225063761101811</v>
      </c>
      <c r="N31" s="10">
        <f t="shared" si="6"/>
        <v>29.174243991646591</v>
      </c>
      <c r="O31" s="10">
        <f t="shared" si="6"/>
        <v>29.116291351858223</v>
      </c>
      <c r="P31" s="10">
        <f t="shared" si="6"/>
        <v>29.081484310034714</v>
      </c>
      <c r="Q31" s="10">
        <f t="shared" si="6"/>
        <v>28.888729098492881</v>
      </c>
      <c r="R31" s="10">
        <f t="shared" si="6"/>
        <v>28.653935704390594</v>
      </c>
      <c r="S31" s="10">
        <f t="shared" si="6"/>
        <v>28.412858344089109</v>
      </c>
      <c r="T31" s="10">
        <f t="shared" si="6"/>
        <v>28.11896804068763</v>
      </c>
      <c r="U31" s="10">
        <f t="shared" si="6"/>
        <v>27.84457886154026</v>
      </c>
      <c r="V31" s="10">
        <f t="shared" si="6"/>
        <v>27.508896452943109</v>
      </c>
      <c r="W31" s="10">
        <f t="shared" si="6"/>
        <v>27.184672818633722</v>
      </c>
      <c r="X31" s="10">
        <f t="shared" si="6"/>
        <v>26.849793555081213</v>
      </c>
      <c r="Y31" s="10">
        <f t="shared" si="6"/>
        <v>26.468828487558245</v>
      </c>
      <c r="Z31" s="10">
        <f t="shared" si="6"/>
        <v>26.055520678280907</v>
      </c>
      <c r="AA31" s="10">
        <f t="shared" si="6"/>
        <v>25.611588375949609</v>
      </c>
      <c r="AB31" s="10">
        <f t="shared" si="6"/>
        <v>25.186854714664566</v>
      </c>
      <c r="AC31" s="10">
        <f t="shared" si="6"/>
        <v>24.779803437377858</v>
      </c>
      <c r="AD31" s="10">
        <f t="shared" si="6"/>
        <v>24.385460327352369</v>
      </c>
      <c r="AE31" s="10">
        <f t="shared" si="6"/>
        <v>23.986195872849844</v>
      </c>
      <c r="AF31" s="10">
        <f t="shared" si="6"/>
        <v>21.788183856657625</v>
      </c>
      <c r="AG31" s="10">
        <f t="shared" si="6"/>
        <v>19.593316062021987</v>
      </c>
      <c r="AH31" s="10"/>
      <c r="AI31" s="10"/>
      <c r="AJ31" s="10"/>
      <c r="AK31" s="10"/>
      <c r="AL31" s="10"/>
      <c r="AM31" s="10"/>
    </row>
    <row r="32" spans="1:41">
      <c r="A32" s="4" t="s">
        <v>400</v>
      </c>
      <c r="B32" s="185">
        <f t="shared" si="1"/>
        <v>26</v>
      </c>
      <c r="C32" s="10">
        <f t="shared" ref="C32:C33" si="7">C29*C$27</f>
        <v>15.698634470069196</v>
      </c>
      <c r="D32" s="10">
        <f t="shared" ref="D32:AG32" si="8">D29*D$27</f>
        <v>15.74245680105571</v>
      </c>
      <c r="E32" s="10">
        <f t="shared" si="8"/>
        <v>16.168259366046819</v>
      </c>
      <c r="F32" s="10">
        <f t="shared" si="8"/>
        <v>16.60012737178209</v>
      </c>
      <c r="G32" s="10">
        <f t="shared" si="8"/>
        <v>16.976763654970718</v>
      </c>
      <c r="H32" s="10">
        <f t="shared" si="8"/>
        <v>17.298814732088275</v>
      </c>
      <c r="I32" s="10">
        <f t="shared" si="8"/>
        <v>17.766318277795556</v>
      </c>
      <c r="J32" s="10">
        <f t="shared" si="8"/>
        <v>18.226385675800731</v>
      </c>
      <c r="K32" s="10">
        <f t="shared" si="8"/>
        <v>19.201285369797056</v>
      </c>
      <c r="L32" s="10">
        <f t="shared" si="8"/>
        <v>18.406399362296234</v>
      </c>
      <c r="M32" s="10">
        <f t="shared" si="8"/>
        <v>18.750265400079719</v>
      </c>
      <c r="N32" s="10">
        <f t="shared" si="8"/>
        <v>19.072968531164133</v>
      </c>
      <c r="O32" s="10">
        <f t="shared" si="8"/>
        <v>19.426097520426012</v>
      </c>
      <c r="P32" s="10">
        <f t="shared" si="8"/>
        <v>19.777353108177905</v>
      </c>
      <c r="Q32" s="10">
        <f t="shared" si="8"/>
        <v>20.059410117564614</v>
      </c>
      <c r="R32" s="10">
        <f t="shared" si="8"/>
        <v>20.396962551576763</v>
      </c>
      <c r="S32" s="10">
        <f t="shared" si="8"/>
        <v>20.725341037956394</v>
      </c>
      <c r="T32" s="10">
        <f t="shared" si="8"/>
        <v>21.041967170884149</v>
      </c>
      <c r="U32" s="10">
        <f t="shared" si="8"/>
        <v>21.41729290657965</v>
      </c>
      <c r="V32" s="10">
        <f t="shared" si="8"/>
        <v>21.708005141736258</v>
      </c>
      <c r="W32" s="10">
        <f t="shared" si="8"/>
        <v>22.064796052396794</v>
      </c>
      <c r="X32" s="10">
        <f t="shared" si="8"/>
        <v>22.382568441026983</v>
      </c>
      <c r="Y32" s="10">
        <f t="shared" si="8"/>
        <v>22.716366832356989</v>
      </c>
      <c r="Z32" s="10">
        <f t="shared" si="8"/>
        <v>23.055089514161406</v>
      </c>
      <c r="AA32" s="10">
        <f t="shared" si="8"/>
        <v>23.387019498469286</v>
      </c>
      <c r="AB32" s="10">
        <f t="shared" si="8"/>
        <v>23.706170767246938</v>
      </c>
      <c r="AC32" s="10">
        <f t="shared" si="8"/>
        <v>24.034790726882992</v>
      </c>
      <c r="AD32" s="10">
        <f t="shared" si="8"/>
        <v>24.35496367800172</v>
      </c>
      <c r="AE32" s="10">
        <f t="shared" si="8"/>
        <v>24.674136706158219</v>
      </c>
      <c r="AF32" s="10">
        <f t="shared" si="8"/>
        <v>26.026837505376491</v>
      </c>
      <c r="AG32" s="10">
        <f t="shared" si="8"/>
        <v>27.322481569655267</v>
      </c>
      <c r="AH32" s="10"/>
      <c r="AI32" s="10"/>
      <c r="AJ32" s="10"/>
      <c r="AK32" s="10"/>
      <c r="AL32" s="10"/>
      <c r="AM32" s="10"/>
    </row>
    <row r="33" spans="1:39">
      <c r="A33" s="4" t="s">
        <v>401</v>
      </c>
      <c r="B33" s="185">
        <f t="shared" si="1"/>
        <v>27</v>
      </c>
      <c r="C33" s="10">
        <f t="shared" si="7"/>
        <v>10.46240762855223</v>
      </c>
      <c r="D33" s="10">
        <f t="shared" ref="D33:AG33" si="9">D30*D$27</f>
        <v>10.98267832729683</v>
      </c>
      <c r="E33" s="10">
        <f t="shared" si="9"/>
        <v>11.422542816477451</v>
      </c>
      <c r="F33" s="10">
        <f t="shared" si="9"/>
        <v>11.789370867355018</v>
      </c>
      <c r="G33" s="10">
        <f t="shared" si="9"/>
        <v>12.091520699804388</v>
      </c>
      <c r="H33" s="10">
        <f t="shared" si="9"/>
        <v>12.644368581760297</v>
      </c>
      <c r="I33" s="10">
        <f t="shared" si="9"/>
        <v>13.046146539854554</v>
      </c>
      <c r="J33" s="10">
        <f t="shared" si="9"/>
        <v>13.227142220174334</v>
      </c>
      <c r="K33" s="10">
        <f t="shared" si="9"/>
        <v>11.995815292972233</v>
      </c>
      <c r="L33" s="10">
        <f t="shared" si="9"/>
        <v>12.307913084923102</v>
      </c>
      <c r="M33" s="10">
        <f t="shared" si="9"/>
        <v>12.707004655217851</v>
      </c>
      <c r="N33" s="10">
        <f t="shared" si="9"/>
        <v>13.133828113763638</v>
      </c>
      <c r="O33" s="10">
        <f t="shared" si="9"/>
        <v>13.545403614869469</v>
      </c>
      <c r="P33" s="10">
        <f t="shared" si="9"/>
        <v>13.94384458178741</v>
      </c>
      <c r="Q33" s="10">
        <f t="shared" si="9"/>
        <v>14.472926125947646</v>
      </c>
      <c r="R33" s="10">
        <f t="shared" si="9"/>
        <v>14.994639307458437</v>
      </c>
      <c r="S33" s="10">
        <f t="shared" si="9"/>
        <v>15.53795923605095</v>
      </c>
      <c r="T33" s="10">
        <f t="shared" si="9"/>
        <v>16.152053838612154</v>
      </c>
      <c r="U33" s="10">
        <f t="shared" si="9"/>
        <v>16.694218231880097</v>
      </c>
      <c r="V33" s="10">
        <f t="shared" si="9"/>
        <v>17.302075596008297</v>
      </c>
      <c r="W33" s="10">
        <f t="shared" si="9"/>
        <v>17.837199342552591</v>
      </c>
      <c r="X33" s="10">
        <f t="shared" si="9"/>
        <v>18.426842069787259</v>
      </c>
      <c r="Y33" s="10">
        <f t="shared" si="9"/>
        <v>19.051430774799929</v>
      </c>
      <c r="Z33" s="10">
        <f t="shared" si="9"/>
        <v>19.708365807557694</v>
      </c>
      <c r="AA33" s="10">
        <f t="shared" si="9"/>
        <v>20.324202614964648</v>
      </c>
      <c r="AB33" s="10">
        <f t="shared" si="9"/>
        <v>20.937308147972544</v>
      </c>
      <c r="AC33" s="10">
        <f t="shared" si="9"/>
        <v>21.526978262432596</v>
      </c>
      <c r="AD33" s="10">
        <f t="shared" si="9"/>
        <v>22.116130077358729</v>
      </c>
      <c r="AE33" s="10">
        <f t="shared" si="9"/>
        <v>22.714973420991928</v>
      </c>
      <c r="AF33" s="10">
        <f t="shared" si="9"/>
        <v>25.804524637965855</v>
      </c>
      <c r="AG33" s="10">
        <f t="shared" si="9"/>
        <v>28.602111368322735</v>
      </c>
      <c r="AH33" s="10"/>
      <c r="AI33" s="10"/>
      <c r="AJ33" s="10"/>
      <c r="AK33" s="10"/>
      <c r="AL33" s="10"/>
      <c r="AM33" s="10"/>
    </row>
    <row r="34" spans="1:39">
      <c r="A34" t="s">
        <v>402</v>
      </c>
      <c r="B34" s="185">
        <f t="shared" si="1"/>
        <v>28</v>
      </c>
      <c r="C34">
        <f>INDEX(DriversGams!$A71:$AN71,1,MATCH(Drivers!C$3,DriversGams!$A$70:$AN$70,0))</f>
        <v>0.29299999999999998</v>
      </c>
      <c r="D34" s="278">
        <f>INDEX(DriversGams!$A71:$AN71,1,MATCH(Drivers!D$3,DriversGams!$A$70:$AN$70,0))</f>
        <v>0.29799999999999999</v>
      </c>
      <c r="E34" s="278">
        <f>INDEX(DriversGams!$A71:$AN71,1,MATCH(Drivers!E$3,DriversGams!$A$70:$AN$70,0))</f>
        <v>0.30099999999999999</v>
      </c>
      <c r="F34" s="278">
        <f>INDEX(DriversGams!$A71:$AN71,1,MATCH(Drivers!F$3,DriversGams!$A$70:$AN$70,0))</f>
        <v>0.30299999999999999</v>
      </c>
      <c r="G34" s="278">
        <f>INDEX(DriversGams!$A71:$AN71,1,MATCH(Drivers!G$3,DriversGams!$A$70:$AN$70,0))</f>
        <v>0.30299999999999999</v>
      </c>
      <c r="H34" s="278">
        <f>INDEX(DriversGams!$A71:$AN71,1,MATCH(Drivers!H$3,DriversGams!$A$70:$AN$70,0))</f>
        <v>0.307</v>
      </c>
      <c r="I34" s="278">
        <f>INDEX(DriversGams!$A71:$AN71,1,MATCH(Drivers!I$3,DriversGams!$A$70:$AN$70,0))</f>
        <v>0.308</v>
      </c>
      <c r="J34" s="278">
        <f>INDEX(DriversGams!$A71:$AN71,1,MATCH(Drivers!J$3,DriversGams!$A$70:$AN$70,0))</f>
        <v>0.30599999999999999</v>
      </c>
      <c r="K34" s="278">
        <f>INDEX(DriversGams!$A71:$AN71,1,MATCH(Drivers!K$3,DriversGams!$A$70:$AN$70,0))</f>
        <v>0.27900000000000003</v>
      </c>
      <c r="L34" s="278">
        <f>INDEX(DriversGams!$A71:$AN71,1,MATCH(Drivers!L$3,DriversGams!$A$70:$AN$70,0))</f>
        <v>0.28599999999999998</v>
      </c>
      <c r="M34" s="278">
        <f>INDEX(DriversGams!$A71:$AN71,1,MATCH(Drivers!M$3,DriversGams!$A$70:$AN$70,0))</f>
        <v>0.28899999999999998</v>
      </c>
      <c r="N34" s="278">
        <f>INDEX(DriversGams!$A71:$AN71,1,MATCH(Drivers!N$3,DriversGams!$A$70:$AN$70,0))</f>
        <v>0.29299999999999998</v>
      </c>
      <c r="O34" s="278">
        <f>INDEX(DriversGams!$A71:$AN71,1,MATCH(Drivers!O$3,DriversGams!$A$70:$AN$70,0))</f>
        <v>0.29599999999999999</v>
      </c>
      <c r="P34" s="278">
        <f>INDEX(DriversGams!$A71:$AN71,1,MATCH(Drivers!P$3,DriversGams!$A$70:$AN$70,0))</f>
        <v>0.29899999999999999</v>
      </c>
      <c r="Q34" s="278">
        <f>INDEX(DriversGams!$A71:$AN71,1,MATCH(Drivers!Q$3,DriversGams!$A$70:$AN$70,0))</f>
        <v>0.30399999999999999</v>
      </c>
      <c r="R34" s="278">
        <f>INDEX(DriversGams!$A71:$AN71,1,MATCH(Drivers!R$3,DriversGams!$A$70:$AN$70,0))</f>
        <v>0.308</v>
      </c>
      <c r="S34" s="278">
        <f>INDEX(DriversGams!$A71:$AN71,1,MATCH(Drivers!S$3,DriversGams!$A$70:$AN$70,0))</f>
        <v>0.313</v>
      </c>
      <c r="T34" s="278">
        <f>INDEX(DriversGams!$A71:$AN71,1,MATCH(Drivers!T$3,DriversGams!$A$70:$AN$70,0))</f>
        <v>0.31900000000000001</v>
      </c>
      <c r="U34" s="278">
        <f>INDEX(DriversGams!$A71:$AN71,1,MATCH(Drivers!U$3,DriversGams!$A$70:$AN$70,0))</f>
        <v>0.32300000000000001</v>
      </c>
      <c r="V34" s="278">
        <f>INDEX(DriversGams!$A71:$AN71,1,MATCH(Drivers!V$3,DriversGams!$A$70:$AN$70,0))</f>
        <v>0.33</v>
      </c>
      <c r="W34" s="278">
        <f>INDEX(DriversGams!$A71:$AN71,1,MATCH(Drivers!W$3,DriversGams!$A$70:$AN$70,0))</f>
        <v>0.33600000000000002</v>
      </c>
      <c r="X34" s="278">
        <f>INDEX(DriversGams!$A71:$AN71,1,MATCH(Drivers!X$3,DriversGams!$A$70:$AN$70,0))</f>
        <v>0.34300000000000003</v>
      </c>
      <c r="Y34" s="278">
        <f>INDEX(DriversGams!$A71:$AN71,1,MATCH(Drivers!Y$3,DriversGams!$A$70:$AN$70,0))</f>
        <v>0.35</v>
      </c>
      <c r="Z34" s="278">
        <f>INDEX(DriversGams!$A71:$AN71,1,MATCH(Drivers!Z$3,DriversGams!$A$70:$AN$70,0))</f>
        <v>0.3576086956521739</v>
      </c>
      <c r="AA34" s="278">
        <f>INDEX(DriversGams!$A71:$AN71,1,MATCH(Drivers!AA$3,DriversGams!$A$70:$AN$70,0))</f>
        <v>0.36538279773156901</v>
      </c>
      <c r="AB34" s="278">
        <f>INDEX(DriversGams!$A71:$AN71,1,MATCH(Drivers!AB$3,DriversGams!$A$70:$AN$70,0))</f>
        <v>0.37402068893089691</v>
      </c>
      <c r="AC34" s="278">
        <f>INDEX(DriversGams!$A71:$AN71,1,MATCH(Drivers!AC$3,DriversGams!$A$70:$AN$70,0))</f>
        <v>0.38179479101029201</v>
      </c>
      <c r="AD34" s="278">
        <f>INDEX(DriversGams!$A71:$AN71,1,MATCH(Drivers!AD$3,DriversGams!$A$70:$AN$70,0))</f>
        <v>0.39043268220961985</v>
      </c>
      <c r="AE34" s="278">
        <f>INDEX(DriversGams!$A71:$AN71,1,MATCH(Drivers!AE$3,DriversGams!$A$70:$AN$70,0))</f>
        <v>0.39907057340894769</v>
      </c>
      <c r="AF34" s="278">
        <f>INDEX(DriversGams!$A71:$AN71,1,MATCH(Drivers!AF$3,DriversGams!$A$70:$AN$70,0))</f>
        <v>0.44830655324511653</v>
      </c>
      <c r="AG34" s="278">
        <f>INDEX(DriversGams!$A71:$AN71,1,MATCH(Drivers!AG$3,DriversGams!$A$70:$AN$70,0))</f>
        <v>0.50702887986587275</v>
      </c>
      <c r="AH34" s="126"/>
      <c r="AI34" s="126"/>
      <c r="AJ34" s="126"/>
      <c r="AK34" s="126"/>
      <c r="AL34" s="126"/>
      <c r="AM34" s="126"/>
    </row>
    <row r="35" spans="1:39">
      <c r="A35" s="4" t="s">
        <v>279</v>
      </c>
      <c r="B35" s="4"/>
      <c r="C35" s="109"/>
      <c r="D35" s="109">
        <f>(D34/C34)^(1/(D$5-C$5))-1</f>
        <v>1.7064846416382284E-2</v>
      </c>
      <c r="E35" s="109">
        <f t="shared" ref="E35:AG35" si="10">(E34/D34)^(1/(E$5-D$5))-1</f>
        <v>1.0067114093959662E-2</v>
      </c>
      <c r="F35" s="109">
        <f t="shared" si="10"/>
        <v>6.6445182724252927E-3</v>
      </c>
      <c r="G35" s="109">
        <f t="shared" si="10"/>
        <v>0</v>
      </c>
      <c r="H35" s="109">
        <f t="shared" si="10"/>
        <v>1.3201320132013139E-2</v>
      </c>
      <c r="I35" s="109">
        <f t="shared" si="10"/>
        <v>3.2573289902280145E-3</v>
      </c>
      <c r="J35" s="109">
        <f t="shared" si="10"/>
        <v>-6.4935064935065512E-3</v>
      </c>
      <c r="K35" s="109">
        <f t="shared" si="10"/>
        <v>-8.8235294117646967E-2</v>
      </c>
      <c r="L35" s="109">
        <f t="shared" si="10"/>
        <v>2.5089605734766929E-2</v>
      </c>
      <c r="M35" s="109">
        <f t="shared" si="10"/>
        <v>1.0489510489510412E-2</v>
      </c>
      <c r="N35" s="109">
        <f t="shared" si="10"/>
        <v>1.384083044982698E-2</v>
      </c>
      <c r="O35" s="109">
        <f t="shared" si="10"/>
        <v>1.0238907849829282E-2</v>
      </c>
      <c r="P35" s="109">
        <f t="shared" si="10"/>
        <v>1.0135135135135087E-2</v>
      </c>
      <c r="Q35" s="109">
        <f t="shared" si="10"/>
        <v>1.6722408026755842E-2</v>
      </c>
      <c r="R35" s="109">
        <f t="shared" si="10"/>
        <v>1.3157894736842035E-2</v>
      </c>
      <c r="S35" s="109">
        <f t="shared" si="10"/>
        <v>1.6233766233766156E-2</v>
      </c>
      <c r="T35" s="109">
        <f t="shared" si="10"/>
        <v>1.9169329073482455E-2</v>
      </c>
      <c r="U35" s="109">
        <f t="shared" si="10"/>
        <v>1.2539184952978122E-2</v>
      </c>
      <c r="V35" s="109">
        <f t="shared" si="10"/>
        <v>2.1671826625387025E-2</v>
      </c>
      <c r="W35" s="109">
        <f t="shared" si="10"/>
        <v>1.8181818181818299E-2</v>
      </c>
      <c r="X35" s="109">
        <f t="shared" si="10"/>
        <v>2.0833333333333259E-2</v>
      </c>
      <c r="Y35" s="109">
        <f t="shared" si="10"/>
        <v>2.0408163265305923E-2</v>
      </c>
      <c r="Z35" s="109">
        <f t="shared" si="10"/>
        <v>2.1739130434782705E-2</v>
      </c>
      <c r="AA35" s="109">
        <f t="shared" si="10"/>
        <v>2.1739130434782705E-2</v>
      </c>
      <c r="AB35" s="109">
        <f t="shared" si="10"/>
        <v>2.3640661938534313E-2</v>
      </c>
      <c r="AC35" s="109">
        <f t="shared" si="10"/>
        <v>2.0785219399538146E-2</v>
      </c>
      <c r="AD35" s="109">
        <f t="shared" si="10"/>
        <v>2.2624434389140191E-2</v>
      </c>
      <c r="AE35" s="109">
        <f t="shared" si="10"/>
        <v>2.2123893805309658E-2</v>
      </c>
      <c r="AF35" s="109">
        <f t="shared" si="10"/>
        <v>2.3540605402066372E-2</v>
      </c>
      <c r="AG35" s="109">
        <f t="shared" si="10"/>
        <v>2.4923667450003073E-2</v>
      </c>
      <c r="AH35" s="109"/>
      <c r="AI35" s="109"/>
      <c r="AJ35" s="109"/>
      <c r="AK35" s="109"/>
      <c r="AL35" s="109"/>
      <c r="AM35" s="109"/>
    </row>
    <row r="36" spans="1:39">
      <c r="L36" s="10"/>
      <c r="Y36" s="109"/>
      <c r="Z36" s="109"/>
      <c r="AA36" s="109"/>
    </row>
    <row r="38" spans="1:39" s="4" customFormat="1"/>
    <row r="39" spans="1:39" s="4" customFormat="1"/>
    <row r="40" spans="1:39" s="4" customFormat="1"/>
    <row r="41" spans="1:39" s="4" customFormat="1"/>
    <row r="42" spans="1:39" s="4" customFormat="1"/>
    <row r="43" spans="1:39" s="4" customFormat="1"/>
    <row r="44" spans="1:39" s="4" customFormat="1"/>
    <row r="45" spans="1:39" s="4" customFormat="1"/>
    <row r="46" spans="1:39" s="4" customFormat="1"/>
    <row r="47" spans="1:39" s="4" customFormat="1"/>
    <row r="48" spans="1:39" s="4" customFormat="1"/>
    <row r="49" spans="2:11" s="4" customFormat="1"/>
    <row r="50" spans="2:11" s="4" customFormat="1"/>
    <row r="51" spans="2:11" s="4" customFormat="1"/>
    <row r="52" spans="2:11" s="4" customFormat="1"/>
    <row r="53" spans="2:11" s="4" customFormat="1"/>
    <row r="54" spans="2:11" s="4" customFormat="1"/>
    <row r="55" spans="2:11" s="4" customFormat="1"/>
    <row r="56" spans="2:11" s="4" customFormat="1"/>
    <row r="57" spans="2:11" s="4" customFormat="1"/>
    <row r="58" spans="2:11" s="4" customFormat="1"/>
    <row r="61" spans="2:11">
      <c r="C61" s="4"/>
      <c r="D61" s="4"/>
      <c r="E61" s="4"/>
      <c r="F61" s="4"/>
      <c r="G61" s="4"/>
      <c r="H61" s="4"/>
      <c r="I61" s="4"/>
      <c r="J61" s="4"/>
      <c r="K61" s="4"/>
    </row>
    <row r="62" spans="2:11">
      <c r="B62" s="6"/>
      <c r="C62" s="6"/>
      <c r="D62" s="6"/>
      <c r="E62" s="6"/>
      <c r="F62" s="6"/>
      <c r="G62" s="6"/>
      <c r="H62" s="6"/>
      <c r="I62" s="6"/>
      <c r="J62" s="6"/>
      <c r="K62" s="6"/>
    </row>
  </sheetData>
  <sortState xmlns:xlrd2="http://schemas.microsoft.com/office/spreadsheetml/2017/richdata2" ref="A7:A22">
    <sortCondition ref="A7"/>
  </sortState>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BD146"/>
  <sheetViews>
    <sheetView workbookViewId="0">
      <selection activeCell="F62" sqref="F62"/>
    </sheetView>
  </sheetViews>
  <sheetFormatPr defaultColWidth="8.85546875" defaultRowHeight="15"/>
  <cols>
    <col min="4" max="4" width="8.85546875" style="4"/>
    <col min="6" max="6" width="11.85546875" customWidth="1"/>
    <col min="7" max="7" width="9.85546875" customWidth="1"/>
    <col min="15" max="15" width="8.85546875" style="192"/>
    <col min="20" max="20" width="10.140625" style="192" customWidth="1"/>
    <col min="25" max="25" width="8.85546875" style="75"/>
  </cols>
  <sheetData>
    <row r="4" spans="1:56">
      <c r="B4">
        <v>2006</v>
      </c>
      <c r="G4">
        <f>AGR!J21</f>
        <v>2012</v>
      </c>
      <c r="H4" s="4">
        <f>AGR!K21</f>
        <v>2013</v>
      </c>
      <c r="I4" s="4">
        <f>AGR!L21</f>
        <v>2014</v>
      </c>
      <c r="J4" s="4">
        <f>AGR!M21</f>
        <v>2015</v>
      </c>
      <c r="K4" s="4">
        <f>AGR!N21</f>
        <v>2016</v>
      </c>
      <c r="L4" s="4">
        <f>AGR!O21</f>
        <v>2017</v>
      </c>
      <c r="M4" s="4">
        <f>AGR!P21</f>
        <v>2018</v>
      </c>
      <c r="N4" s="4">
        <f>AGR!Q21</f>
        <v>2019</v>
      </c>
      <c r="O4" s="192">
        <f>AGR!R21</f>
        <v>2020</v>
      </c>
      <c r="P4" s="4">
        <f>AGR!S21</f>
        <v>2021</v>
      </c>
      <c r="Q4" s="4">
        <f>AGR!T21</f>
        <v>2022</v>
      </c>
      <c r="R4" s="4">
        <f>AGR!U21</f>
        <v>2023</v>
      </c>
      <c r="S4" s="4">
        <f>AGR!V21</f>
        <v>2024</v>
      </c>
      <c r="T4" s="192">
        <f>AGR!W21</f>
        <v>2025</v>
      </c>
      <c r="U4" s="4">
        <f>AGR!X21</f>
        <v>2026</v>
      </c>
      <c r="V4" s="4">
        <f>AGR!Y21</f>
        <v>2027</v>
      </c>
      <c r="W4" s="4">
        <f>AGR!Z21</f>
        <v>2028</v>
      </c>
      <c r="X4" s="4">
        <f>AGR!AA21</f>
        <v>2029</v>
      </c>
      <c r="Y4" s="75">
        <f>AGR!AB21</f>
        <v>2030</v>
      </c>
      <c r="Z4" s="4">
        <f>AGR!AC21</f>
        <v>2031</v>
      </c>
      <c r="AA4" s="4">
        <f>AGR!AD21</f>
        <v>2032</v>
      </c>
      <c r="AB4" s="4">
        <f>AGR!AE21</f>
        <v>2033</v>
      </c>
      <c r="AC4" s="4">
        <f>AGR!AF21</f>
        <v>2034</v>
      </c>
      <c r="AD4" s="4">
        <f>AGR!AG21</f>
        <v>2035</v>
      </c>
      <c r="AE4" s="4">
        <f>AGR!AH21</f>
        <v>2036</v>
      </c>
      <c r="AF4" s="4">
        <f>AGR!AI21</f>
        <v>2037</v>
      </c>
      <c r="AG4" s="4">
        <f>AGR!AJ21</f>
        <v>2038</v>
      </c>
      <c r="AH4" s="4">
        <f>AGR!AK21</f>
        <v>2039</v>
      </c>
      <c r="AI4" s="4">
        <f>AGR!AL21</f>
        <v>2040</v>
      </c>
      <c r="AJ4" s="4">
        <f>AGR!AM21</f>
        <v>2045</v>
      </c>
      <c r="AK4" s="4">
        <f>AGR!AN21</f>
        <v>2050</v>
      </c>
      <c r="AL4" s="4">
        <f>AGR!AO21</f>
        <v>2060</v>
      </c>
      <c r="AM4" s="4">
        <f>AGR!AP21</f>
        <v>2070</v>
      </c>
      <c r="AN4" s="4"/>
      <c r="AO4" s="4"/>
      <c r="AP4" s="4"/>
      <c r="AQ4" s="4"/>
      <c r="AR4" s="4"/>
      <c r="AS4" s="4"/>
      <c r="AT4" s="4"/>
      <c r="AU4" s="4"/>
      <c r="AV4" s="4"/>
      <c r="AW4" s="4"/>
      <c r="AX4" s="4"/>
      <c r="AY4" s="4"/>
      <c r="AZ4" s="4"/>
      <c r="BA4" s="4"/>
      <c r="BB4" s="4"/>
      <c r="BC4" s="4"/>
      <c r="BD4" s="4"/>
    </row>
    <row r="5" spans="1:56">
      <c r="A5" s="35" t="s">
        <v>305</v>
      </c>
      <c r="B5">
        <v>3.4886478690149998</v>
      </c>
      <c r="E5" s="128">
        <f>MATCH(F5,AGR!$D$22:$D$26,0)</f>
        <v>1</v>
      </c>
      <c r="F5" t="str">
        <f>A5</f>
        <v>AH</v>
      </c>
      <c r="G5" s="126">
        <f ca="1">OFFSET(AGR!J$21,$E5,0)</f>
        <v>2.5043970166379772</v>
      </c>
      <c r="H5" s="126">
        <f ca="1">OFFSET(AGR!K$21,$E5,0)</f>
        <v>2.6102115568711772</v>
      </c>
      <c r="I5" s="126">
        <f ca="1">OFFSET(AGR!L$21,$E5,0)</f>
        <v>2.7204969205602345</v>
      </c>
      <c r="J5" s="126">
        <f ca="1">OFFSET(AGR!M$21,$E5,0)</f>
        <v>2.822931461749393</v>
      </c>
      <c r="K5" s="126">
        <f ca="1">OFFSET(AGR!N$21,$E5,0)</f>
        <v>2.7799388623451842</v>
      </c>
      <c r="L5" s="126">
        <f ca="1">OFFSET(AGR!O$21,$E5,0)</f>
        <v>2.7496571184170024</v>
      </c>
      <c r="M5" s="126">
        <f ca="1">OFFSET(AGR!P$21,$E5,0)</f>
        <v>2.8412500475824909</v>
      </c>
      <c r="N5" s="126">
        <f ca="1">OFFSET(AGR!Q$21,$E5,0)</f>
        <v>2.7956405073449826</v>
      </c>
      <c r="O5" s="203">
        <f ca="1">OFFSET(AGR!R$21,$E5,0)</f>
        <v>2.7489094210360601</v>
      </c>
      <c r="P5" s="126">
        <f ca="1">OFFSET(AGR!S$21,$E5,0)</f>
        <v>2.6528303075849147</v>
      </c>
      <c r="Q5" s="126">
        <f ca="1">OFFSET(AGR!T$21,$E5,0)</f>
        <v>2.7276000456791905</v>
      </c>
      <c r="R5" s="126">
        <f ca="1">OFFSET(AGR!U$21,$E5,0)</f>
        <v>2.8038651785353523</v>
      </c>
      <c r="S5" s="126">
        <f ca="1">OFFSET(AGR!V$21,$E5,0)</f>
        <v>2.8606901794870021</v>
      </c>
      <c r="T5" s="203">
        <f ca="1">OFFSET(AGR!W$21,$E5,0)</f>
        <v>2.9122812987720534</v>
      </c>
      <c r="U5" s="126">
        <f ca="1">OFFSET(AGR!X$21,$E5,0)</f>
        <v>2.9582646877000327</v>
      </c>
      <c r="V5" s="126">
        <f ca="1">OFFSET(AGR!Y$21,$E5,0)</f>
        <v>3.0337821231752518</v>
      </c>
      <c r="W5" s="126">
        <f ca="1">OFFSET(AGR!Z$21,$E5,0)</f>
        <v>3.1051872230552853</v>
      </c>
      <c r="X5" s="126">
        <f ca="1">OFFSET(AGR!AA$21,$E5,0)</f>
        <v>3.177713869006733</v>
      </c>
      <c r="Y5" s="205">
        <f ca="1">OFFSET(AGR!AB$21,$E5,0)</f>
        <v>3.24463278460111</v>
      </c>
      <c r="Z5" s="126">
        <f ca="1">OFFSET(AGR!AC$21,$E5,0)</f>
        <v>3.3126732462669009</v>
      </c>
      <c r="AA5" s="126">
        <f ca="1">OFFSET(AGR!AD$21,$E5,0)</f>
        <v>3.3840783461469344</v>
      </c>
      <c r="AB5" s="126">
        <f ca="1">OFFSET(AGR!AE$21,$E5,0)</f>
        <v>3.4476326235270696</v>
      </c>
      <c r="AC5" s="126">
        <f ca="1">OFFSET(AGR!AF$21,$E5,0)</f>
        <v>3.5141776904309752</v>
      </c>
      <c r="AD5" s="126">
        <f ca="1">OFFSET(AGR!AG$21,$E5,0)</f>
        <v>3.5825920007872374</v>
      </c>
      <c r="AE5" s="126">
        <f ca="1">OFFSET(AGR!AH$21,$E5,0)</f>
        <v>3.6521278572149143</v>
      </c>
      <c r="AF5" s="126">
        <f ca="1">OFFSET(AGR!AI$21,$E5,0)</f>
        <v>3.7280191413806048</v>
      </c>
      <c r="AG5" s="126">
        <f ca="1">OFFSET(AGR!AJ$21,$E5,0)</f>
        <v>3.8076489124510089</v>
      </c>
      <c r="AH5" s="126">
        <f ca="1">OFFSET(AGR!AK$21,$E5,0)</f>
        <v>3.8887740782832982</v>
      </c>
      <c r="AI5" s="126">
        <f ca="1">OFFSET(AGR!AL$21,$E5,0)</f>
        <v>3.9725161849488879</v>
      </c>
      <c r="AJ5" s="126">
        <f ca="1">OFFSET(AGR!AM$21,$E5,0)</f>
        <v>4.0599967785191904</v>
      </c>
      <c r="AK5" s="126">
        <f ca="1">OFFSET(AGR!AN$21,$E5,0)</f>
        <v>4.512353693989561</v>
      </c>
      <c r="AL5" s="126">
        <f ca="1">OFFSET(AGR!AO$21,$E5,0)</f>
        <v>5.0936884076725573</v>
      </c>
      <c r="AM5" s="126">
        <f ca="1">OFFSET(AGR!AP$21,$E5,0)</f>
        <v>5.0936884076725573</v>
      </c>
      <c r="AQ5" s="4"/>
    </row>
    <row r="6" spans="1:56">
      <c r="A6" s="35" t="s">
        <v>306</v>
      </c>
      <c r="B6">
        <v>6.8942225938929997</v>
      </c>
      <c r="E6" s="129">
        <f>MATCH(F6,AGR!$D$22:$D$26,0)</f>
        <v>4</v>
      </c>
      <c r="F6" s="4" t="str">
        <f t="shared" ref="F6:F68" si="0">A6</f>
        <v>AI</v>
      </c>
      <c r="G6" s="126">
        <f ca="1">OFFSET(AGR!J$21,$E6,0)</f>
        <v>5.0203080915278155</v>
      </c>
      <c r="H6" s="126">
        <f ca="1">OFFSET(AGR!K$21,$E6,0)</f>
        <v>5.23242365827097</v>
      </c>
      <c r="I6" s="126">
        <f ca="1">OFFSET(AGR!L$21,$E6,0)</f>
        <v>5.4535014267026423</v>
      </c>
      <c r="J6" s="126">
        <f ca="1">OFFSET(AGR!M$21,$E6,0)</f>
        <v>5.6588414556866367</v>
      </c>
      <c r="K6" s="126">
        <f ca="1">OFFSET(AGR!N$21,$E6,0)</f>
        <v>5.5726585968064928</v>
      </c>
      <c r="L6" s="126">
        <f ca="1">OFFSET(AGR!O$21,$E6,0)</f>
        <v>5.5119558875083046</v>
      </c>
      <c r="M6" s="126">
        <f ca="1">OFFSET(AGR!P$21,$E6,0)</f>
        <v>5.6955628477312192</v>
      </c>
      <c r="N6" s="126">
        <f ca="1">OFFSET(AGR!Q$21,$E6,0)</f>
        <v>5.6041340757018503</v>
      </c>
      <c r="O6" s="203">
        <f ca="1">OFFSET(AGR!R$21,$E6,0)</f>
        <v>5.5104570551799554</v>
      </c>
      <c r="P6" s="126">
        <f ca="1">OFFSET(AGR!S$21,$E6,0)</f>
        <v>5.317857100986938</v>
      </c>
      <c r="Q6" s="126">
        <f ca="1">OFFSET(AGR!T$21,$E6,0)</f>
        <v>5.4677403338219692</v>
      </c>
      <c r="R6" s="126">
        <f ca="1">OFFSET(AGR!U$21,$E6,0)</f>
        <v>5.6206212313137023</v>
      </c>
      <c r="S6" s="126">
        <f ca="1">OFFSET(AGR!V$21,$E6,0)</f>
        <v>5.7345324882683268</v>
      </c>
      <c r="T6" s="203">
        <f ca="1">OFFSET(AGR!W$21,$E6,0)</f>
        <v>5.8379519189245004</v>
      </c>
      <c r="U6" s="126">
        <f ca="1">OFFSET(AGR!X$21,$E6,0)</f>
        <v>5.9301301071180443</v>
      </c>
      <c r="V6" s="126">
        <f ca="1">OFFSET(AGR!Y$21,$E6,0)</f>
        <v>6.0815121722814274</v>
      </c>
      <c r="W6" s="126">
        <f ca="1">OFFSET(AGR!Z$21,$E6,0)</f>
        <v>6.2246506596388826</v>
      </c>
      <c r="X6" s="126">
        <f ca="1">OFFSET(AGR!AA$21,$E6,0)</f>
        <v>6.3700373954888629</v>
      </c>
      <c r="Y6" s="205">
        <f ca="1">OFFSET(AGR!AB$21,$E6,0)</f>
        <v>6.5041828888762172</v>
      </c>
      <c r="Z6" s="126">
        <f ca="1">OFFSET(AGR!AC$21,$E6,0)</f>
        <v>6.6405766307560956</v>
      </c>
      <c r="AA6" s="126">
        <f ca="1">OFFSET(AGR!AD$21,$E6,0)</f>
        <v>6.7837151181135518</v>
      </c>
      <c r="AB6" s="126">
        <f ca="1">OFFSET(AGR!AE$21,$E6,0)</f>
        <v>6.9111158660233301</v>
      </c>
      <c r="AC6" s="126">
        <f ca="1">OFFSET(AGR!AF$21,$E6,0)</f>
        <v>7.0445119432465084</v>
      </c>
      <c r="AD6" s="126">
        <f ca="1">OFFSET(AGR!AG$21,$E6,0)</f>
        <v>7.1816551012905618</v>
      </c>
      <c r="AE6" s="126">
        <f ca="1">OFFSET(AGR!AH$21,$E6,0)</f>
        <v>7.3210465078271421</v>
      </c>
      <c r="AF6" s="126">
        <f ca="1">OFFSET(AGR!AI$21,$E6,0)</f>
        <v>7.4731779891547001</v>
      </c>
      <c r="AG6" s="126">
        <f ca="1">OFFSET(AGR!AJ$21,$E6,0)</f>
        <v>7.6328036321240091</v>
      </c>
      <c r="AH6" s="126">
        <f ca="1">OFFSET(AGR!AK$21,$E6,0)</f>
        <v>7.7954269397500182</v>
      </c>
      <c r="AI6" s="126">
        <f ca="1">OFFSET(AGR!AL$21,$E6,0)</f>
        <v>7.963296160525255</v>
      </c>
      <c r="AJ6" s="126">
        <f ca="1">OFFSET(AGR!AM$21,$E6,0)</f>
        <v>8.138659542942241</v>
      </c>
      <c r="AK6" s="126">
        <f ca="1">OFFSET(AGR!AN$21,$E6,0)</f>
        <v>9.0454531015941857</v>
      </c>
      <c r="AL6" s="126">
        <f ca="1">OFFSET(AGR!AO$21,$E6,0)</f>
        <v>10.210795236886559</v>
      </c>
      <c r="AM6" s="126">
        <f ca="1">OFFSET(AGR!AP$21,$E6,0)</f>
        <v>10.210795236886559</v>
      </c>
      <c r="AQ6" s="4"/>
    </row>
    <row r="7" spans="1:56">
      <c r="A7" s="35" t="s">
        <v>307</v>
      </c>
      <c r="B7">
        <v>8.6660070567129992</v>
      </c>
      <c r="E7" s="129">
        <f>MATCH(F7,AGR!$D$22:$D$26,0)</f>
        <v>5</v>
      </c>
      <c r="F7" s="4" t="str">
        <f t="shared" si="0"/>
        <v>AO</v>
      </c>
      <c r="G7" s="126">
        <f ca="1">OFFSET(AGR!J$21,$E7,0)</f>
        <v>8.4310585921569263</v>
      </c>
      <c r="H7" s="126">
        <f ca="1">OFFSET(AGR!K$21,$E7,0)</f>
        <v>8.7872834968670794</v>
      </c>
      <c r="I7" s="126">
        <f ca="1">OFFSET(AGR!L$21,$E7,0)</f>
        <v>9.1585594395161465</v>
      </c>
      <c r="J7" s="126">
        <f ca="1">OFFSET(AGR!M$21,$E7,0)</f>
        <v>9.5034055692986712</v>
      </c>
      <c r="K7" s="126">
        <f ca="1">OFFSET(AGR!N$21,$E7,0)</f>
        <v>9.3586708797914078</v>
      </c>
      <c r="L7" s="126">
        <f ca="1">OFFSET(AGR!O$21,$E7,0)</f>
        <v>9.2567273158775958</v>
      </c>
      <c r="M7" s="126">
        <f ca="1">OFFSET(AGR!P$21,$E7,0)</f>
        <v>9.5650751326539414</v>
      </c>
      <c r="N7" s="126">
        <f ca="1">OFFSET(AGR!Q$21,$E7,0)</f>
        <v>9.4115305055244978</v>
      </c>
      <c r="O7" s="203">
        <f ca="1">OFFSET(AGR!R$21,$E7,0)</f>
        <v>9.2542101908426897</v>
      </c>
      <c r="P7" s="126">
        <f ca="1">OFFSET(AGR!S$21,$E7,0)</f>
        <v>8.9307596238568898</v>
      </c>
      <c r="Q7" s="126">
        <f ca="1">OFFSET(AGR!T$21,$E7,0)</f>
        <v>9.1824721273477827</v>
      </c>
      <c r="R7" s="126">
        <f ca="1">OFFSET(AGR!U$21,$E7,0)</f>
        <v>9.4392188809084949</v>
      </c>
      <c r="S7" s="126">
        <f ca="1">OFFSET(AGR!V$21,$E7,0)</f>
        <v>9.6305203835615742</v>
      </c>
      <c r="T7" s="203">
        <f ca="1">OFFSET(AGR!W$21,$E7,0)</f>
        <v>9.8042020109702932</v>
      </c>
      <c r="U7" s="126">
        <f ca="1">OFFSET(AGR!X$21,$E7,0)</f>
        <v>9.9590052006171916</v>
      </c>
      <c r="V7" s="126">
        <f ca="1">OFFSET(AGR!Y$21,$E7,0)</f>
        <v>10.213234829142994</v>
      </c>
      <c r="W7" s="126">
        <f ca="1">OFFSET(AGR!Z$21,$E7,0)</f>
        <v>10.453620269976797</v>
      </c>
      <c r="X7" s="126">
        <f ca="1">OFFSET(AGR!AA$21,$E7,0)</f>
        <v>10.697781398362963</v>
      </c>
      <c r="Y7" s="205">
        <f ca="1">OFFSET(AGR!AB$21,$E7,0)</f>
        <v>10.923064088987314</v>
      </c>
      <c r="Z7" s="126">
        <f ca="1">OFFSET(AGR!AC$21,$E7,0)</f>
        <v>11.152122467164025</v>
      </c>
      <c r="AA7" s="126">
        <f ca="1">OFFSET(AGR!AD$21,$E7,0)</f>
        <v>11.392507907997828</v>
      </c>
      <c r="AB7" s="126">
        <f ca="1">OFFSET(AGR!AE$21,$E7,0)</f>
        <v>11.606463535965089</v>
      </c>
      <c r="AC7" s="126">
        <f ca="1">OFFSET(AGR!AF$21,$E7,0)</f>
        <v>11.830487664071983</v>
      </c>
      <c r="AD7" s="126">
        <f ca="1">OFFSET(AGR!AG$21,$E7,0)</f>
        <v>12.060804604766149</v>
      </c>
      <c r="AE7" s="126">
        <f ca="1">OFFSET(AGR!AH$21,$E7,0)</f>
        <v>12.29489723301268</v>
      </c>
      <c r="AF7" s="126">
        <f ca="1">OFFSET(AGR!AI$21,$E7,0)</f>
        <v>12.550385424055937</v>
      </c>
      <c r="AG7" s="126">
        <f ca="1">OFFSET(AGR!AJ$21,$E7,0)</f>
        <v>12.818459240273739</v>
      </c>
      <c r="AH7" s="126">
        <f ca="1">OFFSET(AGR!AK$21,$E7,0)</f>
        <v>13.091567306561357</v>
      </c>
      <c r="AI7" s="126">
        <f ca="1">OFFSET(AGR!AL$21,$E7,0)</f>
        <v>13.373485310471159</v>
      </c>
      <c r="AJ7" s="126">
        <f ca="1">OFFSET(AGR!AM$21,$E7,0)</f>
        <v>13.667988939555501</v>
      </c>
      <c r="AK7" s="126">
        <f ca="1">OFFSET(AGR!AN$21,$E7,0)</f>
        <v>15.190849585675405</v>
      </c>
      <c r="AL7" s="126">
        <f ca="1">OFFSET(AGR!AO$21,$E7,0)</f>
        <v>17.147914300317098</v>
      </c>
      <c r="AM7" s="126">
        <f ca="1">OFFSET(AGR!AP$21,$E7,0)</f>
        <v>17.147914300317098</v>
      </c>
      <c r="AQ7" s="4"/>
    </row>
    <row r="8" spans="1:56">
      <c r="A8" s="35" t="s">
        <v>308</v>
      </c>
      <c r="B8">
        <v>5.4851590254799998</v>
      </c>
      <c r="E8" s="129">
        <f>MATCH(F8,AGR!$D$22:$D$26,0)</f>
        <v>2</v>
      </c>
      <c r="F8" s="4" t="str">
        <f t="shared" si="0"/>
        <v>AP</v>
      </c>
      <c r="G8" s="126">
        <f ca="1">OFFSET(AGR!J$21,$E8,0)</f>
        <v>3.8349683201390801</v>
      </c>
      <c r="H8" s="126">
        <f ca="1">OFFSET(AGR!K$21,$E8,0)</f>
        <v>3.9970014989475917</v>
      </c>
      <c r="I8" s="126">
        <f ca="1">OFFSET(AGR!L$21,$E8,0)</f>
        <v>4.1658808232371278</v>
      </c>
      <c r="J8" s="126">
        <f ca="1">OFFSET(AGR!M$21,$E8,0)</f>
        <v>4.3227382295263919</v>
      </c>
      <c r="K8" s="126">
        <f ca="1">OFFSET(AGR!N$21,$E8,0)</f>
        <v>4.2569039166677589</v>
      </c>
      <c r="L8" s="126">
        <f ca="1">OFFSET(AGR!O$21,$E8,0)</f>
        <v>4.2105336615238524</v>
      </c>
      <c r="M8" s="126">
        <f ca="1">OFFSET(AGR!P$21,$E8,0)</f>
        <v>4.3507893715270267</v>
      </c>
      <c r="N8" s="126">
        <f ca="1">OFFSET(AGR!Q$21,$E8,0)</f>
        <v>4.280947752668304</v>
      </c>
      <c r="O8" s="203">
        <f ca="1">OFFSET(AGR!R$21,$E8,0)</f>
        <v>4.2093887169523985</v>
      </c>
      <c r="P8" s="126">
        <f ca="1">OFFSET(AGR!S$21,$E8,0)</f>
        <v>4.0622633395204968</v>
      </c>
      <c r="Q8" s="126">
        <f ca="1">OFFSET(AGR!T$21,$E8,0)</f>
        <v>4.1767577966659442</v>
      </c>
      <c r="R8" s="126">
        <f ca="1">OFFSET(AGR!U$21,$E8,0)</f>
        <v>4.2935421429543013</v>
      </c>
      <c r="S8" s="126">
        <f ca="1">OFFSET(AGR!V$21,$E8,0)</f>
        <v>4.3805579303848416</v>
      </c>
      <c r="T8" s="203">
        <f ca="1">OFFSET(AGR!W$21,$E8,0)</f>
        <v>4.4595591058152015</v>
      </c>
      <c r="U8" s="126">
        <f ca="1">OFFSET(AGR!X$21,$E8,0)</f>
        <v>4.5299731969596513</v>
      </c>
      <c r="V8" s="126">
        <f ca="1">OFFSET(AGR!Y$21,$E8,0)</f>
        <v>4.6456125986765544</v>
      </c>
      <c r="W8" s="126">
        <f ca="1">OFFSET(AGR!Z$21,$E8,0)</f>
        <v>4.7549548052504571</v>
      </c>
      <c r="X8" s="126">
        <f ca="1">OFFSET(AGR!AA$21,$E8,0)</f>
        <v>4.8660144286815417</v>
      </c>
      <c r="Y8" s="205">
        <f ca="1">OFFSET(AGR!AB$21,$E8,0)</f>
        <v>4.9684869678267178</v>
      </c>
      <c r="Z8" s="126">
        <f ca="1">OFFSET(AGR!AC$21,$E8,0)</f>
        <v>5.072676923829075</v>
      </c>
      <c r="AA8" s="126">
        <f ca="1">OFFSET(AGR!AD$21,$E8,0)</f>
        <v>5.1820191304029777</v>
      </c>
      <c r="AB8" s="126">
        <f ca="1">OFFSET(AGR!AE$21,$E8,0)</f>
        <v>5.2793394189766092</v>
      </c>
      <c r="AC8" s="126">
        <f ca="1">OFFSET(AGR!AF$21,$E8,0)</f>
        <v>5.3812394858360575</v>
      </c>
      <c r="AD8" s="126">
        <f ca="1">OFFSET(AGR!AG$21,$E8,0)</f>
        <v>5.4860019141241416</v>
      </c>
      <c r="AE8" s="126">
        <f ca="1">OFFSET(AGR!AH$21,$E8,0)</f>
        <v>5.5924817592694085</v>
      </c>
      <c r="AF8" s="126">
        <f ca="1">OFFSET(AGR!AI$21,$E8,0)</f>
        <v>5.7086936332720386</v>
      </c>
      <c r="AG8" s="126">
        <f ca="1">OFFSET(AGR!AJ$21,$E8,0)</f>
        <v>5.8306302301319404</v>
      </c>
      <c r="AH8" s="126">
        <f ca="1">OFFSET(AGR!AK$21,$E8,0)</f>
        <v>5.954856716134751</v>
      </c>
      <c r="AI8" s="126">
        <f ca="1">OFFSET(AGR!AL$21,$E8,0)</f>
        <v>6.0830905081376532</v>
      </c>
      <c r="AJ8" s="126">
        <f ca="1">OFFSET(AGR!AM$21,$E8,0)</f>
        <v>6.2170490229978261</v>
      </c>
      <c r="AK8" s="126">
        <f ca="1">OFFSET(AGR!AN$21,$E8,0)</f>
        <v>6.9097404887277865</v>
      </c>
      <c r="AL8" s="126">
        <f ca="1">OFFSET(AGR!AO$21,$E8,0)</f>
        <v>7.7999348930336438</v>
      </c>
      <c r="AM8" s="126">
        <f ca="1">OFFSET(AGR!AP$21,$E8,0)</f>
        <v>7.7999348930336438</v>
      </c>
      <c r="AQ8" s="4"/>
    </row>
    <row r="9" spans="1:56">
      <c r="A9" s="35" t="s">
        <v>309</v>
      </c>
      <c r="B9">
        <v>14.26028349219</v>
      </c>
      <c r="E9" s="130">
        <f>MATCH(F9,AGR!$D$22:$D$26,0)</f>
        <v>3</v>
      </c>
      <c r="F9" s="4" t="str">
        <f t="shared" si="0"/>
        <v>AT</v>
      </c>
      <c r="G9" s="126">
        <f ca="1">OFFSET(AGR!J$21,$E9,0)</f>
        <v>14.570390350961301</v>
      </c>
      <c r="H9" s="126">
        <f ca="1">OFFSET(AGR!K$21,$E9,0)</f>
        <v>15.186011255219906</v>
      </c>
      <c r="I9" s="126">
        <f ca="1">OFFSET(AGR!L$21,$E9,0)</f>
        <v>15.827643068495453</v>
      </c>
      <c r="J9" s="126">
        <f ca="1">OFFSET(AGR!M$21,$E9,0)</f>
        <v>16.423599396758167</v>
      </c>
      <c r="K9" s="126">
        <f ca="1">OFFSET(AGR!N$21,$E9,0)</f>
        <v>16.173471740735494</v>
      </c>
      <c r="L9" s="126">
        <f ca="1">OFFSET(AGR!O$21,$E9,0)</f>
        <v>15.997294869971698</v>
      </c>
      <c r="M9" s="126">
        <f ca="1">OFFSET(AGR!P$21,$E9,0)</f>
        <v>16.53017552845478</v>
      </c>
      <c r="N9" s="126">
        <f ca="1">OFFSET(AGR!Q$21,$E9,0)</f>
        <v>16.264822710761166</v>
      </c>
      <c r="O9" s="203">
        <f ca="1">OFFSET(AGR!R$21,$E9,0)</f>
        <v>15.992944823780002</v>
      </c>
      <c r="P9" s="126">
        <f ca="1">OFFSET(AGR!S$21,$E9,0)</f>
        <v>15.433963888146726</v>
      </c>
      <c r="Q9" s="126">
        <f ca="1">OFFSET(AGR!T$21,$E9,0)</f>
        <v>15.868968507316588</v>
      </c>
      <c r="R9" s="126">
        <f ca="1">OFFSET(AGR!U$21,$E9,0)</f>
        <v>16.31267321886985</v>
      </c>
      <c r="S9" s="126">
        <f ca="1">OFFSET(AGR!V$21,$E9,0)</f>
        <v>16.643276729438945</v>
      </c>
      <c r="T9" s="203">
        <f ca="1">OFFSET(AGR!W$21,$E9,0)</f>
        <v>16.943429916666155</v>
      </c>
      <c r="U9" s="126">
        <f ca="1">OFFSET(AGR!X$21,$E9,0)</f>
        <v>17.210957757455617</v>
      </c>
      <c r="V9" s="126">
        <f ca="1">OFFSET(AGR!Y$21,$E9,0)</f>
        <v>17.65031242281718</v>
      </c>
      <c r="W9" s="126">
        <f ca="1">OFFSET(AGR!Z$21,$E9,0)</f>
        <v>18.065741834124399</v>
      </c>
      <c r="X9" s="126">
        <f ca="1">OFFSET(AGR!AA$21,$E9,0)</f>
        <v>18.487696314719166</v>
      </c>
      <c r="Y9" s="205">
        <f ca="1">OFFSET(AGR!AB$21,$E9,0)</f>
        <v>18.877025448876193</v>
      </c>
      <c r="Z9" s="126">
        <f ca="1">OFFSET(AGR!AC$21,$E9,0)</f>
        <v>19.272879652320764</v>
      </c>
      <c r="AA9" s="126">
        <f ca="1">OFFSET(AGR!AD$21,$E9,0)</f>
        <v>19.688309063627983</v>
      </c>
      <c r="AB9" s="126">
        <f ca="1">OFFSET(AGR!AE$21,$E9,0)</f>
        <v>20.058062989922369</v>
      </c>
      <c r="AC9" s="126">
        <f ca="1">OFFSET(AGR!AF$21,$E9,0)</f>
        <v>20.445217100983545</v>
      </c>
      <c r="AD9" s="126">
        <f ca="1">OFFSET(AGR!AG$21,$E9,0)</f>
        <v>20.843246327523968</v>
      </c>
      <c r="AE9" s="126">
        <f ca="1">OFFSET(AGR!AH$21,$E9,0)</f>
        <v>21.247800623351939</v>
      </c>
      <c r="AF9" s="126">
        <f ca="1">OFFSET(AGR!AI$21,$E9,0)</f>
        <v>21.68933031180935</v>
      </c>
      <c r="AG9" s="126">
        <f ca="1">OFFSET(AGR!AJ$21,$E9,0)</f>
        <v>22.152610231225253</v>
      </c>
      <c r="AH9" s="126">
        <f ca="1">OFFSET(AGR!AK$21,$E9,0)</f>
        <v>22.624590243024553</v>
      </c>
      <c r="AI9" s="126">
        <f ca="1">OFFSET(AGR!AL$21,$E9,0)</f>
        <v>23.111795416494804</v>
      </c>
      <c r="AJ9" s="126">
        <f ca="1">OFFSET(AGR!AM$21,$E9,0)</f>
        <v>23.62075082092354</v>
      </c>
      <c r="AK9" s="126">
        <f ca="1">OFFSET(AGR!AN$21,$E9,0)</f>
        <v>26.252528766901207</v>
      </c>
      <c r="AL9" s="126">
        <f ca="1">OFFSET(AGR!AO$21,$E9,0)</f>
        <v>29.634689680946884</v>
      </c>
      <c r="AM9" s="126">
        <f ca="1">OFFSET(AGR!AP$21,$E9,0)</f>
        <v>29.634689680946884</v>
      </c>
      <c r="AQ9" s="4"/>
    </row>
    <row r="10" spans="1:56">
      <c r="A10" s="35" t="s">
        <v>310</v>
      </c>
      <c r="B10">
        <v>0.39719718710289997</v>
      </c>
      <c r="E10" s="129">
        <f ca="1">MATCH(F10,IND!$D$26:$D$255,0)</f>
        <v>110</v>
      </c>
      <c r="F10" s="4" t="str">
        <f t="shared" si="0"/>
        <v>ICPA</v>
      </c>
      <c r="G10" s="126">
        <f ca="1">OFFSET(IND!J$25,$E10,0)</f>
        <v>0.2086787369811067</v>
      </c>
      <c r="H10" s="126">
        <f ca="1">OFFSET(IND!K$25,$E10,0)</f>
        <v>0.21460598760545171</v>
      </c>
      <c r="I10" s="126">
        <f ca="1">OFFSET(IND!L$25,$E10,0)</f>
        <v>0.21835991300087018</v>
      </c>
      <c r="J10" s="126">
        <f ca="1">OFFSET(IND!M$25,$E10,0)</f>
        <v>0.30344250000000006</v>
      </c>
      <c r="K10" s="126">
        <f ca="1">OFFSET(IND!N$25,$E10,0)</f>
        <v>0.30344250000000006</v>
      </c>
      <c r="L10" s="126">
        <f ca="1">OFFSET(IND!O$25,$E10,0)</f>
        <v>0.30344250000000006</v>
      </c>
      <c r="M10" s="126">
        <f ca="1">OFFSET(IND!P$25,$E10,0)</f>
        <v>0.30606947570671383</v>
      </c>
      <c r="N10" s="126">
        <f ca="1">OFFSET(IND!Q$25,$E10,0)</f>
        <v>0.30537252296819795</v>
      </c>
      <c r="O10" s="203">
        <f ca="1">OFFSET(IND!R$25,$E10,0)</f>
        <v>0.28076473012367492</v>
      </c>
      <c r="P10" s="126">
        <f ca="1">OFFSET(IND!S$25,$E10,0)</f>
        <v>0.28821676325088341</v>
      </c>
      <c r="Q10" s="126">
        <f ca="1">OFFSET(IND!T$25,$E10,0)</f>
        <v>0.29497184363957601</v>
      </c>
      <c r="R10" s="126">
        <f ca="1">OFFSET(IND!U$25,$E10,0)</f>
        <v>0.30135164178445234</v>
      </c>
      <c r="S10" s="126">
        <f ca="1">OFFSET(IND!V$25,$E10,0)</f>
        <v>0.30746338118374567</v>
      </c>
      <c r="T10" s="203">
        <f ca="1">OFFSET(IND!W$25,$E10,0)</f>
        <v>0.31411123807420505</v>
      </c>
      <c r="U10" s="126">
        <f ca="1">OFFSET(IND!X$25,$E10,0)</f>
        <v>0.32258189443462904</v>
      </c>
      <c r="V10" s="126">
        <f ca="1">OFFSET(IND!Y$25,$E10,0)</f>
        <v>0.33089171554770325</v>
      </c>
      <c r="W10" s="126">
        <f ca="1">OFFSET(IND!Z$25,$E10,0)</f>
        <v>0.33941598365724396</v>
      </c>
      <c r="X10" s="126">
        <f ca="1">OFFSET(IND!AA$25,$E10,0)</f>
        <v>0.34895887500000017</v>
      </c>
      <c r="Y10" s="205">
        <f ca="1">OFFSET(IND!AB$25,$E10,0)</f>
        <v>0.35882343683745599</v>
      </c>
      <c r="Z10" s="126">
        <f ca="1">OFFSET(IND!AC$25,$E10,0)</f>
        <v>0.36900966916961142</v>
      </c>
      <c r="AA10" s="126">
        <f ca="1">OFFSET(IND!AD$25,$E10,0)</f>
        <v>0.37887423100706724</v>
      </c>
      <c r="AB10" s="126">
        <f ca="1">OFFSET(IND!AE$25,$E10,0)</f>
        <v>0.38970380432862201</v>
      </c>
      <c r="AC10" s="126">
        <f ca="1">OFFSET(IND!AF$25,$E10,0)</f>
        <v>0.40128394213780927</v>
      </c>
      <c r="AD10" s="126">
        <f ca="1">OFFSET(IND!AG$25,$E10,0)</f>
        <v>0.41404353842756203</v>
      </c>
      <c r="AE10" s="126">
        <f ca="1">OFFSET(IND!AH$25,$E10,0)</f>
        <v>0.42717841696113096</v>
      </c>
      <c r="AF10" s="126">
        <f ca="1">OFFSET(IND!AI$25,$E10,0)</f>
        <v>0.44068857773851611</v>
      </c>
      <c r="AG10" s="126">
        <f ca="1">OFFSET(IND!AJ$25,$E10,0)</f>
        <v>0.45435957376325109</v>
      </c>
      <c r="AH10" s="126">
        <f ca="1">OFFSET(IND!AK$25,$E10,0)</f>
        <v>0.46845946378091891</v>
      </c>
      <c r="AI10" s="126">
        <f ca="1">OFFSET(IND!AL$25,$E10,0)</f>
        <v>0.48330991828621933</v>
      </c>
      <c r="AJ10" s="126">
        <f ca="1">OFFSET(IND!AM$25,$E10,0)</f>
        <v>0.56292336572438184</v>
      </c>
      <c r="AK10" s="126">
        <f ca="1">OFFSET(IND!AN$25,$E10,0)</f>
        <v>0.66044313736749138</v>
      </c>
      <c r="AL10" s="126">
        <f ca="1">OFFSET(IND!AO$25,$E10,0)</f>
        <v>0.83459196908127631</v>
      </c>
      <c r="AM10" s="126">
        <f ca="1">OFFSET(IND!AP$25,$E10,0)</f>
        <v>1.0117251881625484</v>
      </c>
      <c r="AQ10" s="4"/>
    </row>
    <row r="11" spans="1:56">
      <c r="A11" s="35" t="s">
        <v>311</v>
      </c>
      <c r="B11">
        <v>5.295962494706</v>
      </c>
      <c r="E11" s="129">
        <f ca="1">MATCH(F11,IND!$D$26:$D$255,0)</f>
        <v>112</v>
      </c>
      <c r="F11" s="4" t="str">
        <f t="shared" si="0"/>
        <v>ICPC</v>
      </c>
      <c r="G11" s="126">
        <f ca="1">OFFSET(IND!J$25,$E11,0)</f>
        <v>2.7823831597480893</v>
      </c>
      <c r="H11" s="126">
        <f ca="1">OFFSET(IND!K$25,$E11,0)</f>
        <v>2.8614131680726893</v>
      </c>
      <c r="I11" s="126">
        <f ca="1">OFFSET(IND!L$25,$E11,0)</f>
        <v>2.9114655066782689</v>
      </c>
      <c r="J11" s="126">
        <f ca="1">OFFSET(IND!M$25,$E11,0)</f>
        <v>4.0459000000000005</v>
      </c>
      <c r="K11" s="126">
        <f ca="1">OFFSET(IND!N$25,$E11,0)</f>
        <v>4.0459000000000005</v>
      </c>
      <c r="L11" s="126">
        <f ca="1">OFFSET(IND!O$25,$E11,0)</f>
        <v>4.0459000000000005</v>
      </c>
      <c r="M11" s="126">
        <f ca="1">OFFSET(IND!P$25,$E11,0)</f>
        <v>4.0809263427561842</v>
      </c>
      <c r="N11" s="126">
        <f ca="1">OFFSET(IND!Q$25,$E11,0)</f>
        <v>4.071633639575972</v>
      </c>
      <c r="O11" s="203">
        <f ca="1">OFFSET(IND!R$25,$E11,0)</f>
        <v>3.743529734982332</v>
      </c>
      <c r="P11" s="126">
        <f ca="1">OFFSET(IND!S$25,$E11,0)</f>
        <v>3.8428901766784449</v>
      </c>
      <c r="Q11" s="126">
        <f ca="1">OFFSET(IND!T$25,$E11,0)</f>
        <v>3.9329579151943461</v>
      </c>
      <c r="R11" s="126">
        <f ca="1">OFFSET(IND!U$25,$E11,0)</f>
        <v>4.0180218904593632</v>
      </c>
      <c r="S11" s="126">
        <f ca="1">OFFSET(IND!V$25,$E11,0)</f>
        <v>4.0995117491166075</v>
      </c>
      <c r="T11" s="203">
        <f ca="1">OFFSET(IND!W$25,$E11,0)</f>
        <v>4.1881498409893991</v>
      </c>
      <c r="U11" s="126">
        <f ca="1">OFFSET(IND!X$25,$E11,0)</f>
        <v>4.3010919257950526</v>
      </c>
      <c r="V11" s="126">
        <f ca="1">OFFSET(IND!Y$25,$E11,0)</f>
        <v>4.4118895406360421</v>
      </c>
      <c r="W11" s="126">
        <f ca="1">OFFSET(IND!Z$25,$E11,0)</f>
        <v>4.5255464487632509</v>
      </c>
      <c r="X11" s="126">
        <f ca="1">OFFSET(IND!AA$25,$E11,0)</f>
        <v>4.6527850000000006</v>
      </c>
      <c r="Y11" s="205">
        <f ca="1">OFFSET(IND!AB$25,$E11,0)</f>
        <v>4.7843124911660784</v>
      </c>
      <c r="Z11" s="126">
        <f ca="1">OFFSET(IND!AC$25,$E11,0)</f>
        <v>4.9201289222614841</v>
      </c>
      <c r="AA11" s="126">
        <f ca="1">OFFSET(IND!AD$25,$E11,0)</f>
        <v>5.0516564134275619</v>
      </c>
      <c r="AB11" s="126">
        <f ca="1">OFFSET(IND!AE$25,$E11,0)</f>
        <v>5.1960507243816254</v>
      </c>
      <c r="AC11" s="126">
        <f ca="1">OFFSET(IND!AF$25,$E11,0)</f>
        <v>5.3504525618374554</v>
      </c>
      <c r="AD11" s="126">
        <f ca="1">OFFSET(IND!AG$25,$E11,0)</f>
        <v>5.5205805123674923</v>
      </c>
      <c r="AE11" s="126">
        <f ca="1">OFFSET(IND!AH$25,$E11,0)</f>
        <v>5.6957122261484114</v>
      </c>
      <c r="AF11" s="126">
        <f ca="1">OFFSET(IND!AI$25,$E11,0)</f>
        <v>5.875847703180213</v>
      </c>
      <c r="AG11" s="126">
        <f ca="1">OFFSET(IND!AJ$25,$E11,0)</f>
        <v>6.0581276501766794</v>
      </c>
      <c r="AH11" s="126">
        <f ca="1">OFFSET(IND!AK$25,$E11,0)</f>
        <v>6.2461261837455835</v>
      </c>
      <c r="AI11" s="126">
        <f ca="1">OFFSET(IND!AL$25,$E11,0)</f>
        <v>6.4441322438162558</v>
      </c>
      <c r="AJ11" s="126">
        <f ca="1">OFFSET(IND!AM$25,$E11,0)</f>
        <v>7.5056448763250891</v>
      </c>
      <c r="AK11" s="126">
        <f ca="1">OFFSET(IND!AN$25,$E11,0)</f>
        <v>8.805908498233217</v>
      </c>
      <c r="AL11" s="126">
        <f ca="1">OFFSET(IND!AO$25,$E11,0)</f>
        <v>11.127892921083683</v>
      </c>
      <c r="AM11" s="126">
        <f ca="1">OFFSET(IND!AP$25,$E11,0)</f>
        <v>13.489669175500643</v>
      </c>
      <c r="AQ11" s="4"/>
    </row>
    <row r="12" spans="1:56">
      <c r="A12" s="35" t="s">
        <v>312</v>
      </c>
      <c r="B12">
        <v>3.219945196781</v>
      </c>
      <c r="E12" s="129">
        <f ca="1">MATCH(F12,IND!$D$26:$D$255,0)</f>
        <v>117</v>
      </c>
      <c r="F12" s="4" t="str">
        <f t="shared" si="0"/>
        <v>ICPE</v>
      </c>
      <c r="G12" s="126">
        <f ca="1">OFFSET(IND!J$25,$E12,0)</f>
        <v>1.6916889611268384</v>
      </c>
      <c r="H12" s="126">
        <f ca="1">OFFSET(IND!K$25,$E12,0)</f>
        <v>1.7397392061881953</v>
      </c>
      <c r="I12" s="126">
        <f ca="1">OFFSET(IND!L$25,$E12,0)</f>
        <v>1.7701710280603877</v>
      </c>
      <c r="J12" s="126">
        <f ca="1">OFFSET(IND!M$25,$E12,0)</f>
        <v>2.4599072000000004</v>
      </c>
      <c r="K12" s="126">
        <f ca="1">OFFSET(IND!N$25,$E12,0)</f>
        <v>2.4599072000000004</v>
      </c>
      <c r="L12" s="126">
        <f ca="1">OFFSET(IND!O$25,$E12,0)</f>
        <v>2.4599072000000004</v>
      </c>
      <c r="M12" s="126">
        <f ca="1">OFFSET(IND!P$25,$E12,0)</f>
        <v>2.4812032163957602</v>
      </c>
      <c r="N12" s="126">
        <f ca="1">OFFSET(IND!Q$25,$E12,0)</f>
        <v>2.4755532528621913</v>
      </c>
      <c r="O12" s="203">
        <f ca="1">OFFSET(IND!R$25,$E12,0)</f>
        <v>2.2760660788692584</v>
      </c>
      <c r="P12" s="126">
        <f ca="1">OFFSET(IND!S$25,$E12,0)</f>
        <v>2.3364772274204952</v>
      </c>
      <c r="Q12" s="126">
        <f ca="1">OFFSET(IND!T$25,$E12,0)</f>
        <v>2.3912384124381632</v>
      </c>
      <c r="R12" s="126">
        <f ca="1">OFFSET(IND!U$25,$E12,0)</f>
        <v>2.4429573093992936</v>
      </c>
      <c r="S12" s="126">
        <f ca="1">OFFSET(IND!V$25,$E12,0)</f>
        <v>2.4925031434628981</v>
      </c>
      <c r="T12" s="203">
        <f ca="1">OFFSET(IND!W$25,$E12,0)</f>
        <v>2.5463951033215553</v>
      </c>
      <c r="U12" s="126">
        <f ca="1">OFFSET(IND!X$25,$E12,0)</f>
        <v>2.6150638908833925</v>
      </c>
      <c r="V12" s="126">
        <f ca="1">OFFSET(IND!Y$25,$E12,0)</f>
        <v>2.6824288407067138</v>
      </c>
      <c r="W12" s="126">
        <f ca="1">OFFSET(IND!Z$25,$E12,0)</f>
        <v>2.7515322408480571</v>
      </c>
      <c r="X12" s="126">
        <f ca="1">OFFSET(IND!AA$25,$E12,0)</f>
        <v>2.8288932800000008</v>
      </c>
      <c r="Y12" s="205">
        <f ca="1">OFFSET(IND!AB$25,$E12,0)</f>
        <v>2.908861994628976</v>
      </c>
      <c r="Z12" s="126">
        <f ca="1">OFFSET(IND!AC$25,$E12,0)</f>
        <v>2.9914383847349826</v>
      </c>
      <c r="AA12" s="126">
        <f ca="1">OFFSET(IND!AD$25,$E12,0)</f>
        <v>3.0714070993639577</v>
      </c>
      <c r="AB12" s="126">
        <f ca="1">OFFSET(IND!AE$25,$E12,0)</f>
        <v>3.1591988404240285</v>
      </c>
      <c r="AC12" s="126">
        <f ca="1">OFFSET(IND!AF$25,$E12,0)</f>
        <v>3.253075157597173</v>
      </c>
      <c r="AD12" s="126">
        <f ca="1">OFFSET(IND!AG$25,$E12,0)</f>
        <v>3.3565129515194352</v>
      </c>
      <c r="AE12" s="126">
        <f ca="1">OFFSET(IND!AH$25,$E12,0)</f>
        <v>3.462993033498234</v>
      </c>
      <c r="AF12" s="126">
        <f ca="1">OFFSET(IND!AI$25,$E12,0)</f>
        <v>3.5725154035335693</v>
      </c>
      <c r="AG12" s="126">
        <f ca="1">OFFSET(IND!AJ$25,$E12,0)</f>
        <v>3.6833416113074211</v>
      </c>
      <c r="AH12" s="126">
        <f ca="1">OFFSET(IND!AK$25,$E12,0)</f>
        <v>3.7976447197173147</v>
      </c>
      <c r="AI12" s="126">
        <f ca="1">OFFSET(IND!AL$25,$E12,0)</f>
        <v>3.9180324042402832</v>
      </c>
      <c r="AJ12" s="126">
        <f ca="1">OFFSET(IND!AM$25,$E12,0)</f>
        <v>4.5634320848056538</v>
      </c>
      <c r="AK12" s="126">
        <f ca="1">OFFSET(IND!AN$25,$E12,0)</f>
        <v>5.3539923669257945</v>
      </c>
      <c r="AL12" s="126">
        <f ca="1">OFFSET(IND!AO$25,$E12,0)</f>
        <v>6.7657588960188777</v>
      </c>
      <c r="AM12" s="126">
        <f ca="1">OFFSET(IND!AP$25,$E12,0)</f>
        <v>8.201718858704389</v>
      </c>
      <c r="AQ12" s="4"/>
    </row>
    <row r="13" spans="1:56">
      <c r="A13" s="35" t="s">
        <v>313</v>
      </c>
      <c r="B13">
        <v>3.389415996611</v>
      </c>
      <c r="E13" s="129">
        <f ca="1">MATCH(F13,IND!$D$26:$D$255,0)</f>
        <v>115</v>
      </c>
      <c r="F13" s="4" t="str">
        <f t="shared" si="0"/>
        <v>ICPF</v>
      </c>
      <c r="G13" s="126">
        <f ca="1">OFFSET(IND!J$25,$E13,0)</f>
        <v>1.7807252222387775</v>
      </c>
      <c r="H13" s="126">
        <f ca="1">OFFSET(IND!K$25,$E13,0)</f>
        <v>1.8313044275665216</v>
      </c>
      <c r="I13" s="126">
        <f ca="1">OFFSET(IND!L$25,$E13,0)</f>
        <v>1.8633379242740926</v>
      </c>
      <c r="J13" s="126">
        <f ca="1">OFFSET(IND!M$25,$E13,0)</f>
        <v>2.5893760000000006</v>
      </c>
      <c r="K13" s="126">
        <f ca="1">OFFSET(IND!N$25,$E13,0)</f>
        <v>2.5893760000000006</v>
      </c>
      <c r="L13" s="126">
        <f ca="1">OFFSET(IND!O$25,$E13,0)</f>
        <v>2.5893760000000006</v>
      </c>
      <c r="M13" s="126">
        <f ca="1">OFFSET(IND!P$25,$E13,0)</f>
        <v>2.6117928593639581</v>
      </c>
      <c r="N13" s="126">
        <f ca="1">OFFSET(IND!Q$25,$E13,0)</f>
        <v>2.6058455293286222</v>
      </c>
      <c r="O13" s="203">
        <f ca="1">OFFSET(IND!R$25,$E13,0)</f>
        <v>2.3958590303886926</v>
      </c>
      <c r="P13" s="126">
        <f ca="1">OFFSET(IND!S$25,$E13,0)</f>
        <v>2.4594497130742048</v>
      </c>
      <c r="Q13" s="126">
        <f ca="1">OFFSET(IND!T$25,$E13,0)</f>
        <v>2.5170930657243815</v>
      </c>
      <c r="R13" s="126">
        <f ca="1">OFFSET(IND!U$25,$E13,0)</f>
        <v>2.5715340098939925</v>
      </c>
      <c r="S13" s="126">
        <f ca="1">OFFSET(IND!V$25,$E13,0)</f>
        <v>2.6236875194346285</v>
      </c>
      <c r="T13" s="203">
        <f ca="1">OFFSET(IND!W$25,$E13,0)</f>
        <v>2.6804158982332149</v>
      </c>
      <c r="U13" s="126">
        <f ca="1">OFFSET(IND!X$25,$E13,0)</f>
        <v>2.7526988325088331</v>
      </c>
      <c r="V13" s="126">
        <f ca="1">OFFSET(IND!Y$25,$E13,0)</f>
        <v>2.8236093060070662</v>
      </c>
      <c r="W13" s="126">
        <f ca="1">OFFSET(IND!Z$25,$E13,0)</f>
        <v>2.8963497272084799</v>
      </c>
      <c r="X13" s="126">
        <f ca="1">OFFSET(IND!AA$25,$E13,0)</f>
        <v>2.9777823999999997</v>
      </c>
      <c r="Y13" s="205">
        <f ca="1">OFFSET(IND!AB$25,$E13,0)</f>
        <v>3.0619599943462892</v>
      </c>
      <c r="Z13" s="126">
        <f ca="1">OFFSET(IND!AC$25,$E13,0)</f>
        <v>3.1488825102473488</v>
      </c>
      <c r="AA13" s="126">
        <f ca="1">OFFSET(IND!AD$25,$E13,0)</f>
        <v>3.2330601045936387</v>
      </c>
      <c r="AB13" s="126">
        <f ca="1">OFFSET(IND!AE$25,$E13,0)</f>
        <v>3.3254724636042394</v>
      </c>
      <c r="AC13" s="126">
        <f ca="1">OFFSET(IND!AF$25,$E13,0)</f>
        <v>3.4242896395759708</v>
      </c>
      <c r="AD13" s="126">
        <f ca="1">OFFSET(IND!AG$25,$E13,0)</f>
        <v>3.5331715279151941</v>
      </c>
      <c r="AE13" s="126">
        <f ca="1">OFFSET(IND!AH$25,$E13,0)</f>
        <v>3.6452558247349822</v>
      </c>
      <c r="AF13" s="126">
        <f ca="1">OFFSET(IND!AI$25,$E13,0)</f>
        <v>3.7605425300353352</v>
      </c>
      <c r="AG13" s="126">
        <f ca="1">OFFSET(IND!AJ$25,$E13,0)</f>
        <v>3.8772016961130737</v>
      </c>
      <c r="AH13" s="126">
        <f ca="1">OFFSET(IND!AK$25,$E13,0)</f>
        <v>3.9975207575971723</v>
      </c>
      <c r="AI13" s="126">
        <f ca="1">OFFSET(IND!AL$25,$E13,0)</f>
        <v>4.1242446360424028</v>
      </c>
      <c r="AJ13" s="126">
        <f ca="1">OFFSET(IND!AM$25,$E13,0)</f>
        <v>4.8036127208480561</v>
      </c>
      <c r="AK13" s="126">
        <f ca="1">OFFSET(IND!AN$25,$E13,0)</f>
        <v>5.6357814388692571</v>
      </c>
      <c r="AL13" s="126">
        <f ca="1">OFFSET(IND!AO$25,$E13,0)</f>
        <v>7.1218514694935546</v>
      </c>
      <c r="AM13" s="126">
        <f ca="1">OFFSET(IND!AP$25,$E13,0)</f>
        <v>8.6333882723204081</v>
      </c>
      <c r="AQ13" s="4"/>
    </row>
    <row r="14" spans="1:56">
      <c r="A14" s="35" t="s">
        <v>314</v>
      </c>
      <c r="B14">
        <v>0.95327324904709998</v>
      </c>
      <c r="E14" s="129">
        <f ca="1">MATCH(F14,IND!$D$26:$D$255,0)</f>
        <v>113</v>
      </c>
      <c r="F14" s="4" t="str">
        <f t="shared" si="0"/>
        <v>ICPH</v>
      </c>
      <c r="G14" s="126">
        <f ca="1">OFFSET(IND!J$25,$E14,0)</f>
        <v>0.5008289687546561</v>
      </c>
      <c r="H14" s="126">
        <f ca="1">OFFSET(IND!K$25,$E14,0)</f>
        <v>0.51505437025308409</v>
      </c>
      <c r="I14" s="126">
        <f ca="1">OFFSET(IND!L$25,$E14,0)</f>
        <v>0.52406379120208846</v>
      </c>
      <c r="J14" s="126">
        <f ca="1">OFFSET(IND!M$25,$E14,0)</f>
        <v>0.72826200000000008</v>
      </c>
      <c r="K14" s="126">
        <f ca="1">OFFSET(IND!N$25,$E14,0)</f>
        <v>0.72826200000000008</v>
      </c>
      <c r="L14" s="126">
        <f ca="1">OFFSET(IND!O$25,$E14,0)</f>
        <v>0.72826200000000008</v>
      </c>
      <c r="M14" s="126">
        <f ca="1">OFFSET(IND!P$25,$E14,0)</f>
        <v>0.73456674169611313</v>
      </c>
      <c r="N14" s="126">
        <f ca="1">OFFSET(IND!Q$25,$E14,0)</f>
        <v>0.732894055123675</v>
      </c>
      <c r="O14" s="203">
        <f ca="1">OFFSET(IND!R$25,$E14,0)</f>
        <v>0.67383535229681979</v>
      </c>
      <c r="P14" s="126">
        <f ca="1">OFFSET(IND!S$25,$E14,0)</f>
        <v>0.69172023180212017</v>
      </c>
      <c r="Q14" s="126">
        <f ca="1">OFFSET(IND!T$25,$E14,0)</f>
        <v>0.70793242473498241</v>
      </c>
      <c r="R14" s="126">
        <f ca="1">OFFSET(IND!U$25,$E14,0)</f>
        <v>0.72324394028268557</v>
      </c>
      <c r="S14" s="126">
        <f ca="1">OFFSET(IND!V$25,$E14,0)</f>
        <v>0.73791211484098951</v>
      </c>
      <c r="T14" s="203">
        <f ca="1">OFFSET(IND!W$25,$E14,0)</f>
        <v>0.753866971378092</v>
      </c>
      <c r="U14" s="126">
        <f ca="1">OFFSET(IND!X$25,$E14,0)</f>
        <v>0.77419654664310966</v>
      </c>
      <c r="V14" s="126">
        <f ca="1">OFFSET(IND!Y$25,$E14,0)</f>
        <v>0.79414011731448775</v>
      </c>
      <c r="W14" s="126">
        <f ca="1">OFFSET(IND!Z$25,$E14,0)</f>
        <v>0.81459836077738534</v>
      </c>
      <c r="X14" s="126">
        <f ca="1">OFFSET(IND!AA$25,$E14,0)</f>
        <v>0.83750130000000023</v>
      </c>
      <c r="Y14" s="205">
        <f ca="1">OFFSET(IND!AB$25,$E14,0)</f>
        <v>0.86117624840989426</v>
      </c>
      <c r="Z14" s="126">
        <f ca="1">OFFSET(IND!AC$25,$E14,0)</f>
        <v>0.88562320600706734</v>
      </c>
      <c r="AA14" s="126">
        <f ca="1">OFFSET(IND!AD$25,$E14,0)</f>
        <v>0.90929815441696138</v>
      </c>
      <c r="AB14" s="126">
        <f ca="1">OFFSET(IND!AE$25,$E14,0)</f>
        <v>0.93528913038869288</v>
      </c>
      <c r="AC14" s="126">
        <f ca="1">OFFSET(IND!AF$25,$E14,0)</f>
        <v>0.96308146113074233</v>
      </c>
      <c r="AD14" s="126">
        <f ca="1">OFFSET(IND!AG$25,$E14,0)</f>
        <v>0.99370449222614898</v>
      </c>
      <c r="AE14" s="126">
        <f ca="1">OFFSET(IND!AH$25,$E14,0)</f>
        <v>1.0252282007067144</v>
      </c>
      <c r="AF14" s="126">
        <f ca="1">OFFSET(IND!AI$25,$E14,0)</f>
        <v>1.0576525865724387</v>
      </c>
      <c r="AG14" s="126">
        <f ca="1">OFFSET(IND!AJ$25,$E14,0)</f>
        <v>1.0904629770318026</v>
      </c>
      <c r="AH14" s="126">
        <f ca="1">OFFSET(IND!AK$25,$E14,0)</f>
        <v>1.1243027130742054</v>
      </c>
      <c r="AI14" s="126">
        <f ca="1">OFFSET(IND!AL$25,$E14,0)</f>
        <v>1.1599438038869263</v>
      </c>
      <c r="AJ14" s="126">
        <f ca="1">OFFSET(IND!AM$25,$E14,0)</f>
        <v>1.3510160777385163</v>
      </c>
      <c r="AK14" s="126">
        <f ca="1">OFFSET(IND!AN$25,$E14,0)</f>
        <v>1.5850635296819793</v>
      </c>
      <c r="AL14" s="126">
        <f ca="1">OFFSET(IND!AO$25,$E14,0)</f>
        <v>2.003020725795063</v>
      </c>
      <c r="AM14" s="126">
        <f ca="1">OFFSET(IND!AP$25,$E14,0)</f>
        <v>2.4281404515901159</v>
      </c>
      <c r="AQ14" s="4"/>
    </row>
    <row r="15" spans="1:56">
      <c r="A15" s="35" t="s">
        <v>315</v>
      </c>
      <c r="B15">
        <v>1.059192498941</v>
      </c>
      <c r="E15" s="129">
        <f ca="1">MATCH(F15,IND!$D$26:$D$255,0)</f>
        <v>109</v>
      </c>
      <c r="F15" s="4" t="str">
        <f t="shared" si="0"/>
        <v>ICPK</v>
      </c>
      <c r="G15" s="126">
        <f ca="1">OFFSET(IND!J$25,$E15,0)</f>
        <v>0.55647663194961794</v>
      </c>
      <c r="H15" s="126">
        <f ca="1">OFFSET(IND!K$25,$E15,0)</f>
        <v>0.57228263361453802</v>
      </c>
      <c r="I15" s="126">
        <f ca="1">OFFSET(IND!L$25,$E15,0)</f>
        <v>0.58229310133565393</v>
      </c>
      <c r="J15" s="126">
        <f ca="1">OFFSET(IND!M$25,$E15,0)</f>
        <v>0.80918000000000012</v>
      </c>
      <c r="K15" s="126">
        <f ca="1">OFFSET(IND!N$25,$E15,0)</f>
        <v>0.80918000000000012</v>
      </c>
      <c r="L15" s="126">
        <f ca="1">OFFSET(IND!O$25,$E15,0)</f>
        <v>0.80918000000000012</v>
      </c>
      <c r="M15" s="126">
        <f ca="1">OFFSET(IND!P$25,$E15,0)</f>
        <v>0.81618526855123685</v>
      </c>
      <c r="N15" s="126">
        <f ca="1">OFFSET(IND!Q$25,$E15,0)</f>
        <v>0.81432672791519445</v>
      </c>
      <c r="O15" s="203">
        <f ca="1">OFFSET(IND!R$25,$E15,0)</f>
        <v>0.74870594699646642</v>
      </c>
      <c r="P15" s="126">
        <f ca="1">OFFSET(IND!S$25,$E15,0)</f>
        <v>0.76857803533568902</v>
      </c>
      <c r="Q15" s="126">
        <f ca="1">OFFSET(IND!T$25,$E15,0)</f>
        <v>0.78659158303886922</v>
      </c>
      <c r="R15" s="126">
        <f ca="1">OFFSET(IND!U$25,$E15,0)</f>
        <v>0.80360437809187268</v>
      </c>
      <c r="S15" s="126">
        <f ca="1">OFFSET(IND!V$25,$E15,0)</f>
        <v>0.81990234982332144</v>
      </c>
      <c r="T15" s="203">
        <f ca="1">OFFSET(IND!W$25,$E15,0)</f>
        <v>0.83762996819787972</v>
      </c>
      <c r="U15" s="126">
        <f ca="1">OFFSET(IND!X$25,$E15,0)</f>
        <v>0.86021838515901039</v>
      </c>
      <c r="V15" s="126">
        <f ca="1">OFFSET(IND!Y$25,$E15,0)</f>
        <v>0.88237790812720829</v>
      </c>
      <c r="W15" s="126">
        <f ca="1">OFFSET(IND!Z$25,$E15,0)</f>
        <v>0.90510928975265015</v>
      </c>
      <c r="X15" s="126">
        <f ca="1">OFFSET(IND!AA$25,$E15,0)</f>
        <v>0.93055700000000008</v>
      </c>
      <c r="Y15" s="205">
        <f ca="1">OFFSET(IND!AB$25,$E15,0)</f>
        <v>0.95686249823321556</v>
      </c>
      <c r="Z15" s="126">
        <f ca="1">OFFSET(IND!AC$25,$E15,0)</f>
        <v>0.98402578445229671</v>
      </c>
      <c r="AA15" s="126">
        <f ca="1">OFFSET(IND!AD$25,$E15,0)</f>
        <v>1.0103312826855122</v>
      </c>
      <c r="AB15" s="126">
        <f ca="1">OFFSET(IND!AE$25,$E15,0)</f>
        <v>1.0392101448763249</v>
      </c>
      <c r="AC15" s="126">
        <f ca="1">OFFSET(IND!AF$25,$E15,0)</f>
        <v>1.0700905123674909</v>
      </c>
      <c r="AD15" s="126">
        <f ca="1">OFFSET(IND!AG$25,$E15,0)</f>
        <v>1.1041161024734982</v>
      </c>
      <c r="AE15" s="126">
        <f ca="1">OFFSET(IND!AH$25,$E15,0)</f>
        <v>1.1391424452296821</v>
      </c>
      <c r="AF15" s="126">
        <f ca="1">OFFSET(IND!AI$25,$E15,0)</f>
        <v>1.1751695406360425</v>
      </c>
      <c r="AG15" s="126">
        <f ca="1">OFFSET(IND!AJ$25,$E15,0)</f>
        <v>1.2116255300353358</v>
      </c>
      <c r="AH15" s="126">
        <f ca="1">OFFSET(IND!AK$25,$E15,0)</f>
        <v>1.2492252367491166</v>
      </c>
      <c r="AI15" s="126">
        <f ca="1">OFFSET(IND!AL$25,$E15,0)</f>
        <v>1.288826448763251</v>
      </c>
      <c r="AJ15" s="126">
        <f ca="1">OFFSET(IND!AM$25,$E15,0)</f>
        <v>1.5011289752650177</v>
      </c>
      <c r="AK15" s="126">
        <f ca="1">OFFSET(IND!AN$25,$E15,0)</f>
        <v>1.761181699646643</v>
      </c>
      <c r="AL15" s="126">
        <f ca="1">OFFSET(IND!AO$25,$E15,0)</f>
        <v>2.2255785842167359</v>
      </c>
      <c r="AM15" s="126">
        <f ca="1">OFFSET(IND!AP$25,$E15,0)</f>
        <v>2.6979338351001276</v>
      </c>
      <c r="AQ15" s="4"/>
    </row>
    <row r="16" spans="1:56">
      <c r="A16" s="35" t="s">
        <v>316</v>
      </c>
      <c r="B16">
        <v>0.63551549936469998</v>
      </c>
      <c r="E16" s="129">
        <f ca="1">MATCH(F16,IND!$D$26:$D$255,0)</f>
        <v>111</v>
      </c>
      <c r="F16" s="4" t="str">
        <f t="shared" si="0"/>
        <v>ICPL</v>
      </c>
      <c r="G16" s="126">
        <f ca="1">OFFSET(IND!J$25,$E16,0)</f>
        <v>0.3338859791697707</v>
      </c>
      <c r="H16" s="126">
        <f ca="1">OFFSET(IND!K$25,$E16,0)</f>
        <v>0.34336958016872271</v>
      </c>
      <c r="I16" s="126">
        <f ca="1">OFFSET(IND!L$25,$E16,0)</f>
        <v>0.34937586080139227</v>
      </c>
      <c r="J16" s="126">
        <f ca="1">OFFSET(IND!M$25,$E16,0)</f>
        <v>0.48550800000000005</v>
      </c>
      <c r="K16" s="126">
        <f ca="1">OFFSET(IND!N$25,$E16,0)</f>
        <v>0.48550800000000005</v>
      </c>
      <c r="L16" s="126">
        <f ca="1">OFFSET(IND!O$25,$E16,0)</f>
        <v>0.48550800000000005</v>
      </c>
      <c r="M16" s="126">
        <f ca="1">OFFSET(IND!P$25,$E16,0)</f>
        <v>0.48971116113074209</v>
      </c>
      <c r="N16" s="126">
        <f ca="1">OFFSET(IND!Q$25,$E16,0)</f>
        <v>0.48859603674911667</v>
      </c>
      <c r="O16" s="203">
        <f ca="1">OFFSET(IND!R$25,$E16,0)</f>
        <v>0.4492235681978799</v>
      </c>
      <c r="P16" s="126">
        <f ca="1">OFFSET(IND!S$25,$E16,0)</f>
        <v>0.46114682120141348</v>
      </c>
      <c r="Q16" s="126">
        <f ca="1">OFFSET(IND!T$25,$E16,0)</f>
        <v>0.47195494982332159</v>
      </c>
      <c r="R16" s="126">
        <f ca="1">OFFSET(IND!U$25,$E16,0)</f>
        <v>0.48216262685512368</v>
      </c>
      <c r="S16" s="126">
        <f ca="1">OFFSET(IND!V$25,$E16,0)</f>
        <v>0.49194140989399293</v>
      </c>
      <c r="T16" s="203">
        <f ca="1">OFFSET(IND!W$25,$E16,0)</f>
        <v>0.50257798091872796</v>
      </c>
      <c r="U16" s="126">
        <f ca="1">OFFSET(IND!X$25,$E16,0)</f>
        <v>0.51613103109540637</v>
      </c>
      <c r="V16" s="126">
        <f ca="1">OFFSET(IND!Y$25,$E16,0)</f>
        <v>0.52942674487632513</v>
      </c>
      <c r="W16" s="126">
        <f ca="1">OFFSET(IND!Z$25,$E16,0)</f>
        <v>0.54306557385159027</v>
      </c>
      <c r="X16" s="126">
        <f ca="1">OFFSET(IND!AA$25,$E16,0)</f>
        <v>0.55833420000000022</v>
      </c>
      <c r="Y16" s="205">
        <f ca="1">OFFSET(IND!AB$25,$E16,0)</f>
        <v>0.57411749893992958</v>
      </c>
      <c r="Z16" s="126">
        <f ca="1">OFFSET(IND!AC$25,$E16,0)</f>
        <v>0.59041547067137823</v>
      </c>
      <c r="AA16" s="126">
        <f ca="1">OFFSET(IND!AD$25,$E16,0)</f>
        <v>0.60619876961130759</v>
      </c>
      <c r="AB16" s="126">
        <f ca="1">OFFSET(IND!AE$25,$E16,0)</f>
        <v>0.62352608692579525</v>
      </c>
      <c r="AC16" s="126">
        <f ca="1">OFFSET(IND!AF$25,$E16,0)</f>
        <v>0.64205430742049485</v>
      </c>
      <c r="AD16" s="126">
        <f ca="1">OFFSET(IND!AG$25,$E16,0)</f>
        <v>0.66246966148409925</v>
      </c>
      <c r="AE16" s="126">
        <f ca="1">OFFSET(IND!AH$25,$E16,0)</f>
        <v>0.68348546713780955</v>
      </c>
      <c r="AF16" s="126">
        <f ca="1">OFFSET(IND!AI$25,$E16,0)</f>
        <v>0.70510172438162577</v>
      </c>
      <c r="AG16" s="126">
        <f ca="1">OFFSET(IND!AJ$25,$E16,0)</f>
        <v>0.72697531802120174</v>
      </c>
      <c r="AH16" s="126">
        <f ca="1">OFFSET(IND!AK$25,$E16,0)</f>
        <v>0.74953514204947025</v>
      </c>
      <c r="AI16" s="126">
        <f ca="1">OFFSET(IND!AL$25,$E16,0)</f>
        <v>0.77329586925795091</v>
      </c>
      <c r="AJ16" s="126">
        <f ca="1">OFFSET(IND!AM$25,$E16,0)</f>
        <v>0.90067738515901097</v>
      </c>
      <c r="AK16" s="126">
        <f ca="1">OFFSET(IND!AN$25,$E16,0)</f>
        <v>1.0567090197879863</v>
      </c>
      <c r="AL16" s="126">
        <f ca="1">OFFSET(IND!AO$25,$E16,0)</f>
        <v>1.3353471505300423</v>
      </c>
      <c r="AM16" s="126">
        <f ca="1">OFFSET(IND!AP$25,$E16,0)</f>
        <v>1.6187603010600775</v>
      </c>
      <c r="AQ16" s="4"/>
    </row>
    <row r="17" spans="1:43">
      <c r="A17" s="35" t="s">
        <v>317</v>
      </c>
      <c r="B17">
        <v>8.4735399915289999</v>
      </c>
      <c r="E17" s="129">
        <f ca="1">MATCH(F17,IND!$D$26:$D$255,0)</f>
        <v>116</v>
      </c>
      <c r="F17" s="4" t="str">
        <f t="shared" si="0"/>
        <v>ICPO</v>
      </c>
      <c r="G17" s="126">
        <f ca="1">OFFSET(IND!J$25,$E17,0)</f>
        <v>4.4518130555969435</v>
      </c>
      <c r="H17" s="126">
        <f ca="1">OFFSET(IND!K$25,$E17,0)</f>
        <v>4.5782610689163041</v>
      </c>
      <c r="I17" s="126">
        <f ca="1">OFFSET(IND!L$25,$E17,0)</f>
        <v>4.6583448106852314</v>
      </c>
      <c r="J17" s="126">
        <f ca="1">OFFSET(IND!M$25,$E17,0)</f>
        <v>6.473440000000001</v>
      </c>
      <c r="K17" s="126">
        <f ca="1">OFFSET(IND!N$25,$E17,0)</f>
        <v>6.473440000000001</v>
      </c>
      <c r="L17" s="126">
        <f ca="1">OFFSET(IND!O$25,$E17,0)</f>
        <v>6.473440000000001</v>
      </c>
      <c r="M17" s="126">
        <f ca="1">OFFSET(IND!P$25,$E17,0)</f>
        <v>6.5294821484098948</v>
      </c>
      <c r="N17" s="126">
        <f ca="1">OFFSET(IND!Q$25,$E17,0)</f>
        <v>6.5146138233215556</v>
      </c>
      <c r="O17" s="203">
        <f ca="1">OFFSET(IND!R$25,$E17,0)</f>
        <v>5.9896475759717314</v>
      </c>
      <c r="P17" s="126">
        <f ca="1">OFFSET(IND!S$25,$E17,0)</f>
        <v>6.1486242826855122</v>
      </c>
      <c r="Q17" s="126">
        <f ca="1">OFFSET(IND!T$25,$E17,0)</f>
        <v>6.2927326643109538</v>
      </c>
      <c r="R17" s="126">
        <f ca="1">OFFSET(IND!U$25,$E17,0)</f>
        <v>6.4288350247349815</v>
      </c>
      <c r="S17" s="126">
        <f ca="1">OFFSET(IND!V$25,$E17,0)</f>
        <v>6.5592187985865715</v>
      </c>
      <c r="T17" s="203">
        <f ca="1">OFFSET(IND!W$25,$E17,0)</f>
        <v>6.7010397455830377</v>
      </c>
      <c r="U17" s="126">
        <f ca="1">OFFSET(IND!X$25,$E17,0)</f>
        <v>6.8817470812720831</v>
      </c>
      <c r="V17" s="126">
        <f ca="1">OFFSET(IND!Y$25,$E17,0)</f>
        <v>7.0590232650176663</v>
      </c>
      <c r="W17" s="126">
        <f ca="1">OFFSET(IND!Z$25,$E17,0)</f>
        <v>7.2408743180212012</v>
      </c>
      <c r="X17" s="126">
        <f ca="1">OFFSET(IND!AA$25,$E17,0)</f>
        <v>7.4444560000000006</v>
      </c>
      <c r="Y17" s="205">
        <f ca="1">OFFSET(IND!AB$25,$E17,0)</f>
        <v>7.6548999858657245</v>
      </c>
      <c r="Z17" s="126">
        <f ca="1">OFFSET(IND!AC$25,$E17,0)</f>
        <v>7.8722062756183737</v>
      </c>
      <c r="AA17" s="126">
        <f ca="1">OFFSET(IND!AD$25,$E17,0)</f>
        <v>8.0826502614840976</v>
      </c>
      <c r="AB17" s="126">
        <f ca="1">OFFSET(IND!AE$25,$E17,0)</f>
        <v>8.3136811590105992</v>
      </c>
      <c r="AC17" s="126">
        <f ca="1">OFFSET(IND!AF$25,$E17,0)</f>
        <v>8.5607240989399269</v>
      </c>
      <c r="AD17" s="126">
        <f ca="1">OFFSET(IND!AG$25,$E17,0)</f>
        <v>8.8329288197879858</v>
      </c>
      <c r="AE17" s="126">
        <f ca="1">OFFSET(IND!AH$25,$E17,0)</f>
        <v>9.1131395618374569</v>
      </c>
      <c r="AF17" s="126">
        <f ca="1">OFFSET(IND!AI$25,$E17,0)</f>
        <v>9.4013563250883401</v>
      </c>
      <c r="AG17" s="126">
        <f ca="1">OFFSET(IND!AJ$25,$E17,0)</f>
        <v>9.6930042402826864</v>
      </c>
      <c r="AH17" s="126">
        <f ca="1">OFFSET(IND!AK$25,$E17,0)</f>
        <v>9.9938018939929325</v>
      </c>
      <c r="AI17" s="126">
        <f ca="1">OFFSET(IND!AL$25,$E17,0)</f>
        <v>10.310611590106008</v>
      </c>
      <c r="AJ17" s="126">
        <f ca="1">OFFSET(IND!AM$25,$E17,0)</f>
        <v>12.009031802120141</v>
      </c>
      <c r="AK17" s="126">
        <f ca="1">OFFSET(IND!AN$25,$E17,0)</f>
        <v>14.089453597173144</v>
      </c>
      <c r="AL17" s="126">
        <f ca="1">OFFSET(IND!AO$25,$E17,0)</f>
        <v>17.804628673733887</v>
      </c>
      <c r="AM17" s="126">
        <f ca="1">OFFSET(IND!AP$25,$E17,0)</f>
        <v>21.583470680801021</v>
      </c>
      <c r="AQ17" s="4"/>
    </row>
    <row r="18" spans="1:43">
      <c r="A18" s="35" t="s">
        <v>318</v>
      </c>
      <c r="B18">
        <v>14.828694985169999</v>
      </c>
      <c r="E18" s="129">
        <f ca="1">MATCH(F18,IND!$D$26:$D$255,0)</f>
        <v>114</v>
      </c>
      <c r="F18" s="4" t="str">
        <f t="shared" si="0"/>
        <v>ICPP</v>
      </c>
      <c r="G18" s="126">
        <f ca="1">OFFSET(IND!J$25,$E18,0)</f>
        <v>7.7906728472946494</v>
      </c>
      <c r="H18" s="126">
        <f ca="1">OFFSET(IND!K$25,$E18,0)</f>
        <v>8.0119568706035302</v>
      </c>
      <c r="I18" s="126">
        <f ca="1">OFFSET(IND!L$25,$E18,0)</f>
        <v>8.1521034186991539</v>
      </c>
      <c r="J18" s="126">
        <f ca="1">OFFSET(IND!M$25,$E18,0)</f>
        <v>11.328520000000001</v>
      </c>
      <c r="K18" s="126">
        <f ca="1">OFFSET(IND!N$25,$E18,0)</f>
        <v>11.328520000000001</v>
      </c>
      <c r="L18" s="126">
        <f ca="1">OFFSET(IND!O$25,$E18,0)</f>
        <v>11.328520000000001</v>
      </c>
      <c r="M18" s="126">
        <f ca="1">OFFSET(IND!P$25,$E18,0)</f>
        <v>11.426593759717315</v>
      </c>
      <c r="N18" s="126">
        <f ca="1">OFFSET(IND!Q$25,$E18,0)</f>
        <v>11.400574190812721</v>
      </c>
      <c r="O18" s="203">
        <f ca="1">OFFSET(IND!R$25,$E18,0)</f>
        <v>10.481883257950528</v>
      </c>
      <c r="P18" s="126">
        <f ca="1">OFFSET(IND!S$25,$E18,0)</f>
        <v>10.760092494699645</v>
      </c>
      <c r="Q18" s="126">
        <f ca="1">OFFSET(IND!T$25,$E18,0)</f>
        <v>11.012282162544167</v>
      </c>
      <c r="R18" s="126">
        <f ca="1">OFFSET(IND!U$25,$E18,0)</f>
        <v>11.250461293286216</v>
      </c>
      <c r="S18" s="126">
        <f ca="1">OFFSET(IND!V$25,$E18,0)</f>
        <v>11.478632897526499</v>
      </c>
      <c r="T18" s="203">
        <f ca="1">OFFSET(IND!W$25,$E18,0)</f>
        <v>11.726819554770314</v>
      </c>
      <c r="U18" s="126">
        <f ca="1">OFFSET(IND!X$25,$E18,0)</f>
        <v>12.043057392226144</v>
      </c>
      <c r="V18" s="126">
        <f ca="1">OFFSET(IND!Y$25,$E18,0)</f>
        <v>12.353290713780915</v>
      </c>
      <c r="W18" s="126">
        <f ca="1">OFFSET(IND!Z$25,$E18,0)</f>
        <v>12.671530056537101</v>
      </c>
      <c r="X18" s="126">
        <f ca="1">OFFSET(IND!AA$25,$E18,0)</f>
        <v>13.027797999999999</v>
      </c>
      <c r="Y18" s="205">
        <f ca="1">OFFSET(IND!AB$25,$E18,0)</f>
        <v>13.396074975265016</v>
      </c>
      <c r="Z18" s="126">
        <f ca="1">OFFSET(IND!AC$25,$E18,0)</f>
        <v>13.776360982332152</v>
      </c>
      <c r="AA18" s="126">
        <f ca="1">OFFSET(IND!AD$25,$E18,0)</f>
        <v>14.144637957597169</v>
      </c>
      <c r="AB18" s="126">
        <f ca="1">OFFSET(IND!AE$25,$E18,0)</f>
        <v>14.548942028268547</v>
      </c>
      <c r="AC18" s="126">
        <f ca="1">OFFSET(IND!AF$25,$E18,0)</f>
        <v>14.98126717314487</v>
      </c>
      <c r="AD18" s="126">
        <f ca="1">OFFSET(IND!AG$25,$E18,0)</f>
        <v>15.457625434628973</v>
      </c>
      <c r="AE18" s="126">
        <f ca="1">OFFSET(IND!AH$25,$E18,0)</f>
        <v>15.947994233215546</v>
      </c>
      <c r="AF18" s="126">
        <f ca="1">OFFSET(IND!AI$25,$E18,0)</f>
        <v>16.452373568904591</v>
      </c>
      <c r="AG18" s="126">
        <f ca="1">OFFSET(IND!AJ$25,$E18,0)</f>
        <v>16.962757420494697</v>
      </c>
      <c r="AH18" s="126">
        <f ca="1">OFFSET(IND!AK$25,$E18,0)</f>
        <v>17.489153314487627</v>
      </c>
      <c r="AI18" s="126">
        <f ca="1">OFFSET(IND!AL$25,$E18,0)</f>
        <v>18.043570282685508</v>
      </c>
      <c r="AJ18" s="126">
        <f ca="1">OFFSET(IND!AM$25,$E18,0)</f>
        <v>21.015805653710238</v>
      </c>
      <c r="AK18" s="126">
        <f ca="1">OFFSET(IND!AN$25,$E18,0)</f>
        <v>24.656543795052993</v>
      </c>
      <c r="AL18" s="126">
        <f ca="1">OFFSET(IND!AO$25,$E18,0)</f>
        <v>31.158100179034292</v>
      </c>
      <c r="AM18" s="126">
        <f ca="1">OFFSET(IND!AP$25,$E18,0)</f>
        <v>37.771073691401774</v>
      </c>
      <c r="AQ18" s="4"/>
    </row>
    <row r="19" spans="1:43">
      <c r="A19" s="35" t="s">
        <v>319</v>
      </c>
      <c r="B19">
        <v>32.941303389589997</v>
      </c>
      <c r="E19" s="129">
        <f ca="1">MATCH(F19,IND!$D$26:$D$255,0)</f>
        <v>119</v>
      </c>
      <c r="F19" s="4" t="str">
        <f t="shared" si="0"/>
        <v>ICPS</v>
      </c>
      <c r="G19" s="126">
        <f ca="1">OFFSET(IND!J$25,$E19,0)</f>
        <v>27.288197120140854</v>
      </c>
      <c r="H19" s="126">
        <f ca="1">OFFSET(IND!K$25,$E19,0)</f>
        <v>28.063283196266802</v>
      </c>
      <c r="I19" s="126">
        <f ca="1">OFFSET(IND!L$25,$E19,0)</f>
        <v>28.554171044479897</v>
      </c>
      <c r="J19" s="126">
        <f ca="1">OFFSET(IND!M$25,$E19,0)</f>
        <v>16.650368400000001</v>
      </c>
      <c r="K19" s="126">
        <f ca="1">OFFSET(IND!N$25,$E19,0)</f>
        <v>16.650368400000001</v>
      </c>
      <c r="L19" s="126">
        <f ca="1">OFFSET(IND!O$25,$E19,0)</f>
        <v>16.650368400000001</v>
      </c>
      <c r="M19" s="126">
        <f ca="1">OFFSET(IND!P$25,$E19,0)</f>
        <v>16.794514698869261</v>
      </c>
      <c r="N19" s="126">
        <f ca="1">OFFSET(IND!Q$25,$E19,0)</f>
        <v>16.756271803250886</v>
      </c>
      <c r="O19" s="203">
        <f ca="1">OFFSET(IND!R$25,$E19,0)</f>
        <v>15.406003411802121</v>
      </c>
      <c r="P19" s="126">
        <f ca="1">OFFSET(IND!S$25,$E19,0)</f>
        <v>15.814908218798587</v>
      </c>
      <c r="Q19" s="126">
        <f ca="1">OFFSET(IND!T$25,$E19,0)</f>
        <v>16.185570130176679</v>
      </c>
      <c r="R19" s="126">
        <f ca="1">OFFSET(IND!U$25,$E19,0)</f>
        <v>16.535639713144874</v>
      </c>
      <c r="S19" s="126">
        <f ca="1">OFFSET(IND!V$25,$E19,0)</f>
        <v>16.871000490106006</v>
      </c>
      <c r="T19" s="203">
        <f ca="1">OFFSET(IND!W$25,$E19,0)</f>
        <v>17.23577887908127</v>
      </c>
      <c r="U19" s="126">
        <f ca="1">OFFSET(IND!X$25,$E19,0)</f>
        <v>17.700577148904589</v>
      </c>
      <c r="V19" s="126">
        <f ca="1">OFFSET(IND!Y$25,$E19,0)</f>
        <v>18.15655013512367</v>
      </c>
      <c r="W19" s="126">
        <f ca="1">OFFSET(IND!Z$25,$E19,0)</f>
        <v>18.624290166148409</v>
      </c>
      <c r="X19" s="126">
        <f ca="1">OFFSET(IND!AA$25,$E19,0)</f>
        <v>19.14792366</v>
      </c>
      <c r="Y19" s="205">
        <f ca="1">OFFSET(IND!AB$25,$E19,0)</f>
        <v>19.689207721060072</v>
      </c>
      <c r="Z19" s="126">
        <f ca="1">OFFSET(IND!AC$25,$E19,0)</f>
        <v>20.248142349328621</v>
      </c>
      <c r="AA19" s="126">
        <f ca="1">OFFSET(IND!AD$25,$E19,0)</f>
        <v>20.789426410388693</v>
      </c>
      <c r="AB19" s="126">
        <f ca="1">OFFSET(IND!AE$25,$E19,0)</f>
        <v>21.383662173074207</v>
      </c>
      <c r="AC19" s="126">
        <f ca="1">OFFSET(IND!AF$25,$E19,0)</f>
        <v>22.019082592579505</v>
      </c>
      <c r="AD19" s="126">
        <f ca="1">OFFSET(IND!AG$25,$E19,0)</f>
        <v>22.719221758515907</v>
      </c>
      <c r="AE19" s="126">
        <f ca="1">OFFSET(IND!AH$25,$E19,0)</f>
        <v>23.4399532528622</v>
      </c>
      <c r="AF19" s="126">
        <f ca="1">OFFSET(IND!AI$25,$E19,0)</f>
        <v>24.181277075618382</v>
      </c>
      <c r="AG19" s="126">
        <f ca="1">OFFSET(IND!AJ$25,$E19,0)</f>
        <v>24.931426181978807</v>
      </c>
      <c r="AH19" s="126">
        <f ca="1">OFFSET(IND!AK$25,$E19,0)</f>
        <v>25.705109377950535</v>
      </c>
      <c r="AI19" s="126">
        <f ca="1">OFFSET(IND!AL$25,$E19,0)</f>
        <v>26.519977230742057</v>
      </c>
      <c r="AJ19" s="126">
        <f ca="1">OFFSET(IND!AM$25,$E19,0)</f>
        <v>30.888492614840995</v>
      </c>
      <c r="AK19" s="126">
        <f ca="1">OFFSET(IND!AN$25,$E19,0)</f>
        <v>36.239556240212018</v>
      </c>
      <c r="AL19" s="126">
        <f ca="1">OFFSET(IND!AO$25,$E19,0)</f>
        <v>45.795377209470189</v>
      </c>
      <c r="AM19" s="126">
        <f ca="1">OFFSET(IND!AP$25,$E19,0)</f>
        <v>55.514956218940149</v>
      </c>
      <c r="AQ19" s="4"/>
    </row>
    <row r="20" spans="1:43">
      <c r="A20" s="35" t="s">
        <v>320</v>
      </c>
      <c r="B20">
        <v>39.685391397639997</v>
      </c>
      <c r="E20" s="129">
        <f ca="1">MATCH(F20,IND!$D$26:$D$255,0)</f>
        <v>126</v>
      </c>
      <c r="F20" s="4" t="str">
        <f t="shared" si="0"/>
        <v>ICPT</v>
      </c>
      <c r="G20" s="126">
        <f ca="1">OFFSET(IND!J$25,$E20,0)</f>
        <v>39.004000030517574</v>
      </c>
      <c r="H20" s="126">
        <f ca="1">OFFSET(IND!K$25,$E20,0)</f>
        <v>40.11185839154345</v>
      </c>
      <c r="I20" s="126">
        <f ca="1">OFFSET(IND!L$25,$E20,0)</f>
        <v>40.813502020193162</v>
      </c>
      <c r="J20" s="126">
        <f ca="1">OFFSET(IND!M$25,$E20,0)</f>
        <v>28.64</v>
      </c>
      <c r="K20" s="126">
        <f ca="1">OFFSET(IND!N$25,$E20,0)</f>
        <v>28.64</v>
      </c>
      <c r="L20" s="126">
        <f ca="1">OFFSET(IND!O$25,$E20,0)</f>
        <v>28.64</v>
      </c>
      <c r="M20" s="126">
        <f ca="1">OFFSET(IND!P$25,$E20,0)</f>
        <v>28.887943462897528</v>
      </c>
      <c r="N20" s="126">
        <f ca="1">OFFSET(IND!Q$25,$E20,0)</f>
        <v>28.822162544169615</v>
      </c>
      <c r="O20" s="203">
        <f ca="1">OFFSET(IND!R$25,$E20,0)</f>
        <v>26.499590106007069</v>
      </c>
      <c r="P20" s="126">
        <f ca="1">OFFSET(IND!S$25,$E20,0)</f>
        <v>27.202939929328625</v>
      </c>
      <c r="Q20" s="126">
        <f ca="1">OFFSET(IND!T$25,$E20,0)</f>
        <v>27.840508833922264</v>
      </c>
      <c r="R20" s="126">
        <f ca="1">OFFSET(IND!U$25,$E20,0)</f>
        <v>28.442657243816257</v>
      </c>
      <c r="S20" s="126">
        <f ca="1">OFFSET(IND!V$25,$E20,0)</f>
        <v>29.019505300353362</v>
      </c>
      <c r="T20" s="203">
        <f ca="1">OFFSET(IND!W$25,$E20,0)</f>
        <v>29.646954063604245</v>
      </c>
      <c r="U20" s="126">
        <f ca="1">OFFSET(IND!X$25,$E20,0)</f>
        <v>30.446445229681981</v>
      </c>
      <c r="V20" s="126">
        <f ca="1">OFFSET(IND!Y$25,$E20,0)</f>
        <v>31.230756183745584</v>
      </c>
      <c r="W20" s="126">
        <f ca="1">OFFSET(IND!Z$25,$E20,0)</f>
        <v>32.035307420494703</v>
      </c>
      <c r="X20" s="126">
        <f ca="1">OFFSET(IND!AA$25,$E20,0)</f>
        <v>32.936000000000007</v>
      </c>
      <c r="Y20" s="205">
        <f ca="1">OFFSET(IND!AB$25,$E20,0)</f>
        <v>33.867053003533577</v>
      </c>
      <c r="Z20" s="126">
        <f ca="1">OFFSET(IND!AC$25,$E20,0)</f>
        <v>34.828466431095407</v>
      </c>
      <c r="AA20" s="126">
        <f ca="1">OFFSET(IND!AD$25,$E20,0)</f>
        <v>35.759519434628977</v>
      </c>
      <c r="AB20" s="126">
        <f ca="1">OFFSET(IND!AE$25,$E20,0)</f>
        <v>36.781653710247355</v>
      </c>
      <c r="AC20" s="126">
        <f ca="1">OFFSET(IND!AF$25,$E20,0)</f>
        <v>37.874628975265018</v>
      </c>
      <c r="AD20" s="126">
        <f ca="1">OFFSET(IND!AG$25,$E20,0)</f>
        <v>39.07892579505301</v>
      </c>
      <c r="AE20" s="126">
        <f ca="1">OFFSET(IND!AH$25,$E20,0)</f>
        <v>40.318643109540645</v>
      </c>
      <c r="AF20" s="126">
        <f ca="1">OFFSET(IND!AI$25,$E20,0)</f>
        <v>41.593780918727923</v>
      </c>
      <c r="AG20" s="126">
        <f ca="1">OFFSET(IND!AJ$25,$E20,0)</f>
        <v>42.884098939929338</v>
      </c>
      <c r="AH20" s="126">
        <f ca="1">OFFSET(IND!AK$25,$E20,0)</f>
        <v>44.214897526501773</v>
      </c>
      <c r="AI20" s="126">
        <f ca="1">OFFSET(IND!AL$25,$E20,0)</f>
        <v>45.616537102473508</v>
      </c>
      <c r="AJ20" s="126">
        <f ca="1">OFFSET(IND!AM$25,$E20,0)</f>
        <v>53.130742049469973</v>
      </c>
      <c r="AK20" s="126">
        <f ca="1">OFFSET(IND!AN$25,$E20,0)</f>
        <v>62.335010600706724</v>
      </c>
      <c r="AL20" s="126">
        <f ca="1">OFFSET(IND!AO$25,$E20,0)</f>
        <v>78.771806831566934</v>
      </c>
      <c r="AM20" s="126">
        <f ca="1">OFFSET(IND!AP$25,$E20,0)</f>
        <v>95.490280329800143</v>
      </c>
      <c r="AQ20" s="4"/>
    </row>
    <row r="21" spans="1:43">
      <c r="A21" s="35" t="s">
        <v>321</v>
      </c>
      <c r="B21">
        <v>5.3061366499999998E-2</v>
      </c>
      <c r="E21" s="129">
        <f ca="1">MATCH(F21,IND!$D$26:$D$255,0)</f>
        <v>169</v>
      </c>
      <c r="F21" s="4" t="str">
        <f t="shared" si="0"/>
        <v>IFBA</v>
      </c>
      <c r="G21" s="126">
        <f ca="1">OFFSET(IND!J$25,$E21,0)</f>
        <v>3.1931633262906718E-2</v>
      </c>
      <c r="H21" s="126">
        <f ca="1">OFFSET(IND!K$25,$E21,0)</f>
        <v>3.2518132649368273E-2</v>
      </c>
      <c r="I21" s="126">
        <f ca="1">OFFSET(IND!L$25,$E21,0)</f>
        <v>3.294000062910378E-2</v>
      </c>
      <c r="J21" s="126">
        <f ca="1">OFFSET(IND!M$25,$E21,0)</f>
        <v>2.9904000000000003E-2</v>
      </c>
      <c r="K21" s="126">
        <f ca="1">OFFSET(IND!N$25,$E21,0)</f>
        <v>2.9904000000000003E-2</v>
      </c>
      <c r="L21" s="126">
        <f ca="1">OFFSET(IND!O$25,$E21,0)</f>
        <v>2.9904000000000003E-2</v>
      </c>
      <c r="M21" s="126">
        <f ca="1">OFFSET(IND!P$25,$E21,0)</f>
        <v>3.0108842858603421E-2</v>
      </c>
      <c r="N21" s="126">
        <f ca="1">OFFSET(IND!Q$25,$E21,0)</f>
        <v>2.9873426439014417E-2</v>
      </c>
      <c r="O21" s="203">
        <f ca="1">OFFSET(IND!R$25,$E21,0)</f>
        <v>2.836920723852367E-2</v>
      </c>
      <c r="P21" s="126">
        <f ca="1">OFFSET(IND!S$25,$E21,0)</f>
        <v>2.9222209590021468E-2</v>
      </c>
      <c r="Q21" s="126">
        <f ca="1">OFFSET(IND!T$25,$E21,0)</f>
        <v>3.0001835395153865E-2</v>
      </c>
      <c r="R21" s="126">
        <f ca="1">OFFSET(IND!U$25,$E21,0)</f>
        <v>3.064082281975258E-2</v>
      </c>
      <c r="S21" s="126">
        <f ca="1">OFFSET(IND!V$25,$E21,0)</f>
        <v>3.1240064615070031E-2</v>
      </c>
      <c r="T21" s="203">
        <f ca="1">OFFSET(IND!W$25,$E21,0)</f>
        <v>3.18821093957673E-2</v>
      </c>
      <c r="U21" s="126">
        <f ca="1">OFFSET(IND!X$25,$E21,0)</f>
        <v>3.276262795215213E-2</v>
      </c>
      <c r="V21" s="126">
        <f ca="1">OFFSET(IND!Y$25,$E21,0)</f>
        <v>3.360034352315714E-2</v>
      </c>
      <c r="W21" s="126">
        <f ca="1">OFFSET(IND!Z$25,$E21,0)</f>
        <v>3.4441116450260711E-2</v>
      </c>
      <c r="X21" s="126">
        <f ca="1">OFFSET(IND!AA$25,$E21,0)</f>
        <v>3.5226856967590224E-2</v>
      </c>
      <c r="Y21" s="205">
        <f ca="1">OFFSET(IND!AB$25,$E21,0)</f>
        <v>3.6027884265412528E-2</v>
      </c>
      <c r="Z21" s="126">
        <f ca="1">OFFSET(IND!AC$25,$E21,0)</f>
        <v>3.6822796851037717E-2</v>
      </c>
      <c r="AA21" s="126">
        <f ca="1">OFFSET(IND!AD$25,$E21,0)</f>
        <v>3.7559619670790294E-2</v>
      </c>
      <c r="AB21" s="126">
        <f ca="1">OFFSET(IND!AE$25,$E21,0)</f>
        <v>3.8360646968612605E-2</v>
      </c>
      <c r="AC21" s="126">
        <f ca="1">OFFSET(IND!AF$25,$E21,0)</f>
        <v>3.9198362539617622E-2</v>
      </c>
      <c r="AD21" s="126">
        <f ca="1">OFFSET(IND!AG$25,$E21,0)</f>
        <v>4.0054422247213978E-2</v>
      </c>
      <c r="AE21" s="126">
        <f ca="1">OFFSET(IND!AH$25,$E21,0)</f>
        <v>4.1005259993865659E-2</v>
      </c>
      <c r="AF21" s="126">
        <f ca="1">OFFSET(IND!AI$25,$E21,0)</f>
        <v>4.1986671301502923E-2</v>
      </c>
      <c r="AG21" s="126">
        <f ca="1">OFFSET(IND!AJ$25,$E21,0)</f>
        <v>4.2952795828647382E-2</v>
      </c>
      <c r="AH21" s="126">
        <f ca="1">OFFSET(IND!AK$25,$E21,0)</f>
        <v>4.3940321848481748E-2</v>
      </c>
      <c r="AI21" s="126">
        <f ca="1">OFFSET(IND!AL$25,$E21,0)</f>
        <v>4.4970650853695934E-2</v>
      </c>
      <c r="AJ21" s="126">
        <f ca="1">OFFSET(IND!AM$25,$E21,0)</f>
        <v>5.0143697372456789E-2</v>
      </c>
      <c r="AK21" s="126">
        <f ca="1">OFFSET(IND!AN$25,$E21,0)</f>
        <v>5.6374589101318866E-2</v>
      </c>
      <c r="AL21" s="126">
        <f ca="1">OFFSET(IND!AO$25,$E21,0)</f>
        <v>6.7602219813924766E-2</v>
      </c>
      <c r="AM21" s="126">
        <f ca="1">OFFSET(IND!AP$25,$E21,0)</f>
        <v>7.900615806154776E-2</v>
      </c>
      <c r="AQ21" s="4"/>
    </row>
    <row r="22" spans="1:43">
      <c r="A22" s="35" t="s">
        <v>322</v>
      </c>
      <c r="B22">
        <v>12.204114317089999</v>
      </c>
      <c r="E22" s="129">
        <f ca="1">MATCH(F22,IND!$D$26:$D$255,0)</f>
        <v>171</v>
      </c>
      <c r="F22" s="4" t="str">
        <f t="shared" si="0"/>
        <v>IFBC</v>
      </c>
      <c r="G22" s="126">
        <f ca="1">OFFSET(IND!J$25,$E22,0)</f>
        <v>7.3442756504685454</v>
      </c>
      <c r="H22" s="126">
        <f ca="1">OFFSET(IND!K$25,$E22,0)</f>
        <v>7.4791705093547023</v>
      </c>
      <c r="I22" s="126">
        <f ca="1">OFFSET(IND!L$25,$E22,0)</f>
        <v>7.5762001446938685</v>
      </c>
      <c r="J22" s="126">
        <f ca="1">OFFSET(IND!M$25,$E22,0)</f>
        <v>6.8779200000000005</v>
      </c>
      <c r="K22" s="126">
        <f ca="1">OFFSET(IND!N$25,$E22,0)</f>
        <v>6.8779200000000005</v>
      </c>
      <c r="L22" s="126">
        <f ca="1">OFFSET(IND!O$25,$E22,0)</f>
        <v>6.8779200000000005</v>
      </c>
      <c r="M22" s="126">
        <f ca="1">OFFSET(IND!P$25,$E22,0)</f>
        <v>6.9250338574787866</v>
      </c>
      <c r="N22" s="126">
        <f ca="1">OFFSET(IND!Q$25,$E22,0)</f>
        <v>6.8708880809733159</v>
      </c>
      <c r="O22" s="203">
        <f ca="1">OFFSET(IND!R$25,$E22,0)</f>
        <v>6.5249176648604443</v>
      </c>
      <c r="P22" s="126">
        <f ca="1">OFFSET(IND!S$25,$E22,0)</f>
        <v>6.7211082057049376</v>
      </c>
      <c r="Q22" s="126">
        <f ca="1">OFFSET(IND!T$25,$E22,0)</f>
        <v>6.9004221408853894</v>
      </c>
      <c r="R22" s="126">
        <f ca="1">OFFSET(IND!U$25,$E22,0)</f>
        <v>7.0473892485430936</v>
      </c>
      <c r="S22" s="126">
        <f ca="1">OFFSET(IND!V$25,$E22,0)</f>
        <v>7.1852148614661075</v>
      </c>
      <c r="T22" s="203">
        <f ca="1">OFFSET(IND!W$25,$E22,0)</f>
        <v>7.3328851610264794</v>
      </c>
      <c r="U22" s="126">
        <f ca="1">OFFSET(IND!X$25,$E22,0)</f>
        <v>7.5354044289949895</v>
      </c>
      <c r="V22" s="126">
        <f ca="1">OFFSET(IND!Y$25,$E22,0)</f>
        <v>7.7280790103261419</v>
      </c>
      <c r="W22" s="126">
        <f ca="1">OFFSET(IND!Z$25,$E22,0)</f>
        <v>7.9214567835599627</v>
      </c>
      <c r="X22" s="126">
        <f ca="1">OFFSET(IND!AA$25,$E22,0)</f>
        <v>8.1021771025457507</v>
      </c>
      <c r="Y22" s="205">
        <f ca="1">OFFSET(IND!AB$25,$E22,0)</f>
        <v>8.2864133810448806</v>
      </c>
      <c r="Z22" s="126">
        <f ca="1">OFFSET(IND!AC$25,$E22,0)</f>
        <v>8.4692432757386733</v>
      </c>
      <c r="AA22" s="126">
        <f ca="1">OFFSET(IND!AD$25,$E22,0)</f>
        <v>8.6387125242817664</v>
      </c>
      <c r="AB22" s="126">
        <f ca="1">OFFSET(IND!AE$25,$E22,0)</f>
        <v>8.822948802780898</v>
      </c>
      <c r="AC22" s="126">
        <f ca="1">OFFSET(IND!AF$25,$E22,0)</f>
        <v>9.0156233841120521</v>
      </c>
      <c r="AD22" s="126">
        <f ca="1">OFFSET(IND!AG$25,$E22,0)</f>
        <v>9.2125171168592139</v>
      </c>
      <c r="AE22" s="126">
        <f ca="1">OFFSET(IND!AH$25,$E22,0)</f>
        <v>9.4312097985890997</v>
      </c>
      <c r="AF22" s="126">
        <f ca="1">OFFSET(IND!AI$25,$E22,0)</f>
        <v>9.6569343993456691</v>
      </c>
      <c r="AG22" s="126">
        <f ca="1">OFFSET(IND!AJ$25,$E22,0)</f>
        <v>9.8791430405888949</v>
      </c>
      <c r="AH22" s="126">
        <f ca="1">OFFSET(IND!AK$25,$E22,0)</f>
        <v>10.1062740251508</v>
      </c>
      <c r="AI22" s="126">
        <f ca="1">OFFSET(IND!AL$25,$E22,0)</f>
        <v>10.343249696350062</v>
      </c>
      <c r="AJ22" s="126">
        <f ca="1">OFFSET(IND!AM$25,$E22,0)</f>
        <v>11.533050395665059</v>
      </c>
      <c r="AK22" s="126">
        <f ca="1">OFFSET(IND!AN$25,$E22,0)</f>
        <v>12.966155493303336</v>
      </c>
      <c r="AL22" s="126">
        <f ca="1">OFFSET(IND!AO$25,$E22,0)</f>
        <v>15.548510557202693</v>
      </c>
      <c r="AM22" s="126">
        <f ca="1">OFFSET(IND!AP$25,$E22,0)</f>
        <v>18.171416354155983</v>
      </c>
      <c r="AQ22" s="4"/>
    </row>
    <row r="23" spans="1:43">
      <c r="A23" s="35" t="s">
        <v>323</v>
      </c>
      <c r="B23" t="s">
        <v>386</v>
      </c>
      <c r="E23" s="129">
        <f ca="1">MATCH(F23,IND!$D$26:$D$255,0)</f>
        <v>176</v>
      </c>
      <c r="F23" s="4" t="str">
        <f t="shared" si="0"/>
        <v>IFBE</v>
      </c>
      <c r="G23" s="126">
        <f ca="1">OFFSET(IND!J$25,$E23,0)</f>
        <v>0</v>
      </c>
      <c r="H23" s="126">
        <f ca="1">OFFSET(IND!K$25,$E23,0)</f>
        <v>0</v>
      </c>
      <c r="I23" s="126">
        <f ca="1">OFFSET(IND!L$25,$E23,0)</f>
        <v>0</v>
      </c>
      <c r="J23" s="126">
        <f ca="1">OFFSET(IND!M$25,$E23,0)</f>
        <v>0</v>
      </c>
      <c r="K23" s="126">
        <f ca="1">OFFSET(IND!N$25,$E23,0)</f>
        <v>0</v>
      </c>
      <c r="L23" s="126">
        <f ca="1">OFFSET(IND!O$25,$E23,0)</f>
        <v>0</v>
      </c>
      <c r="M23" s="126">
        <f ca="1">OFFSET(IND!P$25,$E23,0)</f>
        <v>0</v>
      </c>
      <c r="N23" s="126">
        <f ca="1">OFFSET(IND!Q$25,$E23,0)</f>
        <v>0</v>
      </c>
      <c r="O23" s="203">
        <f ca="1">OFFSET(IND!R$25,$E23,0)</f>
        <v>0</v>
      </c>
      <c r="P23" s="126">
        <f ca="1">OFFSET(IND!S$25,$E23,0)</f>
        <v>0</v>
      </c>
      <c r="Q23" s="126">
        <f ca="1">OFFSET(IND!T$25,$E23,0)</f>
        <v>0</v>
      </c>
      <c r="R23" s="126">
        <f ca="1">OFFSET(IND!U$25,$E23,0)</f>
        <v>0</v>
      </c>
      <c r="S23" s="126">
        <f ca="1">OFFSET(IND!V$25,$E23,0)</f>
        <v>0</v>
      </c>
      <c r="T23" s="203">
        <f ca="1">OFFSET(IND!W$25,$E23,0)</f>
        <v>0</v>
      </c>
      <c r="U23" s="126">
        <f ca="1">OFFSET(IND!X$25,$E23,0)</f>
        <v>0</v>
      </c>
      <c r="V23" s="126">
        <f ca="1">OFFSET(IND!Y$25,$E23,0)</f>
        <v>0</v>
      </c>
      <c r="W23" s="126">
        <f ca="1">OFFSET(IND!Z$25,$E23,0)</f>
        <v>0</v>
      </c>
      <c r="X23" s="126">
        <f ca="1">OFFSET(IND!AA$25,$E23,0)</f>
        <v>0</v>
      </c>
      <c r="Y23" s="205">
        <f ca="1">OFFSET(IND!AB$25,$E23,0)</f>
        <v>0</v>
      </c>
      <c r="Z23" s="126">
        <f ca="1">OFFSET(IND!AC$25,$E23,0)</f>
        <v>0</v>
      </c>
      <c r="AA23" s="126">
        <f ca="1">OFFSET(IND!AD$25,$E23,0)</f>
        <v>0</v>
      </c>
      <c r="AB23" s="126">
        <f ca="1">OFFSET(IND!AE$25,$E23,0)</f>
        <v>0</v>
      </c>
      <c r="AC23" s="126">
        <f ca="1">OFFSET(IND!AF$25,$E23,0)</f>
        <v>0</v>
      </c>
      <c r="AD23" s="126">
        <f ca="1">OFFSET(IND!AG$25,$E23,0)</f>
        <v>0</v>
      </c>
      <c r="AE23" s="126">
        <f ca="1">OFFSET(IND!AH$25,$E23,0)</f>
        <v>0</v>
      </c>
      <c r="AF23" s="126">
        <f ca="1">OFFSET(IND!AI$25,$E23,0)</f>
        <v>0</v>
      </c>
      <c r="AG23" s="126">
        <f ca="1">OFFSET(IND!AJ$25,$E23,0)</f>
        <v>0</v>
      </c>
      <c r="AH23" s="126">
        <f ca="1">OFFSET(IND!AK$25,$E23,0)</f>
        <v>0</v>
      </c>
      <c r="AI23" s="126">
        <f ca="1">OFFSET(IND!AL$25,$E23,0)</f>
        <v>0</v>
      </c>
      <c r="AJ23" s="126">
        <f ca="1">OFFSET(IND!AM$25,$E23,0)</f>
        <v>0</v>
      </c>
      <c r="AK23" s="126">
        <f ca="1">OFFSET(IND!AN$25,$E23,0)</f>
        <v>0</v>
      </c>
      <c r="AL23" s="126">
        <f ca="1">OFFSET(IND!AO$25,$E23,0)</f>
        <v>0</v>
      </c>
      <c r="AM23" s="126">
        <f ca="1">OFFSET(IND!AP$25,$E23,0)</f>
        <v>0</v>
      </c>
      <c r="AQ23" s="4"/>
    </row>
    <row r="24" spans="1:43">
      <c r="A24" s="35" t="s">
        <v>324</v>
      </c>
      <c r="B24">
        <v>0.84898186553730004</v>
      </c>
      <c r="E24" s="129">
        <f ca="1">MATCH(F24,IND!$D$26:$D$255,0)</f>
        <v>174</v>
      </c>
      <c r="F24" s="4" t="str">
        <f t="shared" si="0"/>
        <v>IFBF</v>
      </c>
      <c r="G24" s="126">
        <f ca="1">OFFSET(IND!J$25,$E24,0)</f>
        <v>0.51090613220650749</v>
      </c>
      <c r="H24" s="126">
        <f ca="1">OFFSET(IND!K$25,$E24,0)</f>
        <v>0.52029012238989236</v>
      </c>
      <c r="I24" s="126">
        <f ca="1">OFFSET(IND!L$25,$E24,0)</f>
        <v>0.52704001006566048</v>
      </c>
      <c r="J24" s="126">
        <f ca="1">OFFSET(IND!M$25,$E24,0)</f>
        <v>0.47846400000000006</v>
      </c>
      <c r="K24" s="126">
        <f ca="1">OFFSET(IND!N$25,$E24,0)</f>
        <v>0.47846400000000006</v>
      </c>
      <c r="L24" s="126">
        <f ca="1">OFFSET(IND!O$25,$E24,0)</f>
        <v>0.47846400000000006</v>
      </c>
      <c r="M24" s="126">
        <f ca="1">OFFSET(IND!P$25,$E24,0)</f>
        <v>0.48174148573765474</v>
      </c>
      <c r="N24" s="126">
        <f ca="1">OFFSET(IND!Q$25,$E24,0)</f>
        <v>0.47797482302423067</v>
      </c>
      <c r="O24" s="203">
        <f ca="1">OFFSET(IND!R$25,$E24,0)</f>
        <v>0.45390731581637872</v>
      </c>
      <c r="P24" s="126">
        <f ca="1">OFFSET(IND!S$25,$E24,0)</f>
        <v>0.46755535344034349</v>
      </c>
      <c r="Q24" s="126">
        <f ca="1">OFFSET(IND!T$25,$E24,0)</f>
        <v>0.48002936632246185</v>
      </c>
      <c r="R24" s="126">
        <f ca="1">OFFSET(IND!U$25,$E24,0)</f>
        <v>0.49025316511604128</v>
      </c>
      <c r="S24" s="126">
        <f ca="1">OFFSET(IND!V$25,$E24,0)</f>
        <v>0.4998410338411205</v>
      </c>
      <c r="T24" s="203">
        <f ca="1">OFFSET(IND!W$25,$E24,0)</f>
        <v>0.51011375033227679</v>
      </c>
      <c r="U24" s="126">
        <f ca="1">OFFSET(IND!X$25,$E24,0)</f>
        <v>0.52420204723443409</v>
      </c>
      <c r="V24" s="126">
        <f ca="1">OFFSET(IND!Y$25,$E24,0)</f>
        <v>0.53760549637051425</v>
      </c>
      <c r="W24" s="126">
        <f ca="1">OFFSET(IND!Z$25,$E24,0)</f>
        <v>0.55105786320417138</v>
      </c>
      <c r="X24" s="126">
        <f ca="1">OFFSET(IND!AA$25,$E24,0)</f>
        <v>0.56362971148144358</v>
      </c>
      <c r="Y24" s="205">
        <f ca="1">OFFSET(IND!AB$25,$E24,0)</f>
        <v>0.57644614824660045</v>
      </c>
      <c r="Z24" s="126">
        <f ca="1">OFFSET(IND!AC$25,$E24,0)</f>
        <v>0.58916474961660348</v>
      </c>
      <c r="AA24" s="126">
        <f ca="1">OFFSET(IND!AD$25,$E24,0)</f>
        <v>0.6009539147326447</v>
      </c>
      <c r="AB24" s="126">
        <f ca="1">OFFSET(IND!AE$25,$E24,0)</f>
        <v>0.61377035149780168</v>
      </c>
      <c r="AC24" s="126">
        <f ca="1">OFFSET(IND!AF$25,$E24,0)</f>
        <v>0.62717380063388195</v>
      </c>
      <c r="AD24" s="126">
        <f ca="1">OFFSET(IND!AG$25,$E24,0)</f>
        <v>0.64087075595542364</v>
      </c>
      <c r="AE24" s="126">
        <f ca="1">OFFSET(IND!AH$25,$E24,0)</f>
        <v>0.65608415990185054</v>
      </c>
      <c r="AF24" s="126">
        <f ca="1">OFFSET(IND!AI$25,$E24,0)</f>
        <v>0.67178674082404677</v>
      </c>
      <c r="AG24" s="126">
        <f ca="1">OFFSET(IND!AJ$25,$E24,0)</f>
        <v>0.68724473325835811</v>
      </c>
      <c r="AH24" s="126">
        <f ca="1">OFFSET(IND!AK$25,$E24,0)</f>
        <v>0.70304514957570796</v>
      </c>
      <c r="AI24" s="126">
        <f ca="1">OFFSET(IND!AL$25,$E24,0)</f>
        <v>0.71953041365913495</v>
      </c>
      <c r="AJ24" s="126">
        <f ca="1">OFFSET(IND!AM$25,$E24,0)</f>
        <v>0.80229915795930862</v>
      </c>
      <c r="AK24" s="126">
        <f ca="1">OFFSET(IND!AN$25,$E24,0)</f>
        <v>0.90199342562110185</v>
      </c>
      <c r="AL24" s="126">
        <f ca="1">OFFSET(IND!AO$25,$E24,0)</f>
        <v>1.0816355170227963</v>
      </c>
      <c r="AM24" s="126">
        <f ca="1">OFFSET(IND!AP$25,$E24,0)</f>
        <v>1.2640985289847642</v>
      </c>
      <c r="AQ24" s="4"/>
    </row>
    <row r="25" spans="1:43">
      <c r="A25" s="35" t="s">
        <v>325</v>
      </c>
      <c r="B25">
        <v>1.432656898094</v>
      </c>
      <c r="E25" s="129">
        <f ca="1">MATCH(F25,IND!$D$26:$D$255,0)</f>
        <v>172</v>
      </c>
      <c r="F25" s="4" t="str">
        <f t="shared" si="0"/>
        <v>IFBH</v>
      </c>
      <c r="G25" s="126">
        <f ca="1">OFFSET(IND!J$25,$E25,0)</f>
        <v>0.86215409809848131</v>
      </c>
      <c r="H25" s="126">
        <f ca="1">OFFSET(IND!K$25,$E25,0)</f>
        <v>0.87798958153294326</v>
      </c>
      <c r="I25" s="126">
        <f ca="1">OFFSET(IND!L$25,$E25,0)</f>
        <v>0.88938001698580194</v>
      </c>
      <c r="J25" s="126">
        <f ca="1">OFFSET(IND!M$25,$E25,0)</f>
        <v>0.8074079999999999</v>
      </c>
      <c r="K25" s="126">
        <f ca="1">OFFSET(IND!N$25,$E25,0)</f>
        <v>0.8074079999999999</v>
      </c>
      <c r="L25" s="126">
        <f ca="1">OFFSET(IND!O$25,$E25,0)</f>
        <v>0.8074079999999999</v>
      </c>
      <c r="M25" s="126">
        <f ca="1">OFFSET(IND!P$25,$E25,0)</f>
        <v>0.81293875718229214</v>
      </c>
      <c r="N25" s="126">
        <f ca="1">OFFSET(IND!Q$25,$E25,0)</f>
        <v>0.80658251385338908</v>
      </c>
      <c r="O25" s="203">
        <f ca="1">OFFSET(IND!R$25,$E25,0)</f>
        <v>0.76596859544013896</v>
      </c>
      <c r="P25" s="126">
        <f ca="1">OFFSET(IND!S$25,$E25,0)</f>
        <v>0.78899965893057955</v>
      </c>
      <c r="Q25" s="126">
        <f ca="1">OFFSET(IND!T$25,$E25,0)</f>
        <v>0.81004955566915426</v>
      </c>
      <c r="R25" s="126">
        <f ca="1">OFFSET(IND!U$25,$E25,0)</f>
        <v>0.82730221613331956</v>
      </c>
      <c r="S25" s="126">
        <f ca="1">OFFSET(IND!V$25,$E25,0)</f>
        <v>0.84348174460689074</v>
      </c>
      <c r="T25" s="203">
        <f ca="1">OFFSET(IND!W$25,$E25,0)</f>
        <v>0.86081695368571698</v>
      </c>
      <c r="U25" s="126">
        <f ca="1">OFFSET(IND!X$25,$E25,0)</f>
        <v>0.88459095470810734</v>
      </c>
      <c r="V25" s="126">
        <f ca="1">OFFSET(IND!Y$25,$E25,0)</f>
        <v>0.90720927512524252</v>
      </c>
      <c r="W25" s="126">
        <f ca="1">OFFSET(IND!Z$25,$E25,0)</f>
        <v>0.92991014415703888</v>
      </c>
      <c r="X25" s="126">
        <f ca="1">OFFSET(IND!AA$25,$E25,0)</f>
        <v>0.95112513812493571</v>
      </c>
      <c r="Y25" s="205">
        <f ca="1">OFFSET(IND!AB$25,$E25,0)</f>
        <v>0.97275287516613795</v>
      </c>
      <c r="Z25" s="126">
        <f ca="1">OFFSET(IND!AC$25,$E25,0)</f>
        <v>0.99421551497801797</v>
      </c>
      <c r="AA25" s="126">
        <f ca="1">OFFSET(IND!AD$25,$E25,0)</f>
        <v>1.0141097311113376</v>
      </c>
      <c r="AB25" s="126">
        <f ca="1">OFFSET(IND!AE$25,$E25,0)</f>
        <v>1.03573746815254</v>
      </c>
      <c r="AC25" s="126">
        <f ca="1">OFFSET(IND!AF$25,$E25,0)</f>
        <v>1.0583557885696755</v>
      </c>
      <c r="AD25" s="126">
        <f ca="1">OFFSET(IND!AG$25,$E25,0)</f>
        <v>1.0814694006747771</v>
      </c>
      <c r="AE25" s="126">
        <f ca="1">OFFSET(IND!AH$25,$E25,0)</f>
        <v>1.1071420198343724</v>
      </c>
      <c r="AF25" s="126">
        <f ca="1">OFFSET(IND!AI$25,$E25,0)</f>
        <v>1.1336401251405785</v>
      </c>
      <c r="AG25" s="126">
        <f ca="1">OFFSET(IND!AJ$25,$E25,0)</f>
        <v>1.159725487373479</v>
      </c>
      <c r="AH25" s="126">
        <f ca="1">OFFSET(IND!AK$25,$E25,0)</f>
        <v>1.186388689909007</v>
      </c>
      <c r="AI25" s="126">
        <f ca="1">OFFSET(IND!AL$25,$E25,0)</f>
        <v>1.2142075730497901</v>
      </c>
      <c r="AJ25" s="126">
        <f ca="1">OFFSET(IND!AM$25,$E25,0)</f>
        <v>1.3538798290563332</v>
      </c>
      <c r="AK25" s="126">
        <f ca="1">OFFSET(IND!AN$25,$E25,0)</f>
        <v>1.5221139057356092</v>
      </c>
      <c r="AL25" s="126">
        <f ca="1">OFFSET(IND!AO$25,$E25,0)</f>
        <v>1.8252599349759686</v>
      </c>
      <c r="AM25" s="126">
        <f ca="1">OFFSET(IND!AP$25,$E25,0)</f>
        <v>2.1331662676617893</v>
      </c>
      <c r="AQ25" s="4"/>
    </row>
    <row r="26" spans="1:43">
      <c r="A26" s="35" t="s">
        <v>326</v>
      </c>
      <c r="B26">
        <v>1.857147830862</v>
      </c>
      <c r="E26" s="129">
        <f ca="1">MATCH(F26,IND!$D$26:$D$255,0)</f>
        <v>168</v>
      </c>
      <c r="F26" s="4" t="str">
        <f t="shared" si="0"/>
        <v>IFBK</v>
      </c>
      <c r="G26" s="126">
        <f ca="1">OFFSET(IND!J$25,$E26,0)</f>
        <v>1.1176071642017353</v>
      </c>
      <c r="H26" s="126">
        <f ca="1">OFFSET(IND!K$25,$E26,0)</f>
        <v>1.1381346427278896</v>
      </c>
      <c r="I26" s="126">
        <f ca="1">OFFSET(IND!L$25,$E26,0)</f>
        <v>1.1529000220186323</v>
      </c>
      <c r="J26" s="126">
        <f ca="1">OFFSET(IND!M$25,$E26,0)</f>
        <v>1.04664</v>
      </c>
      <c r="K26" s="126">
        <f ca="1">OFFSET(IND!N$25,$E26,0)</f>
        <v>1.04664</v>
      </c>
      <c r="L26" s="126">
        <f ca="1">OFFSET(IND!O$25,$E26,0)</f>
        <v>1.04664</v>
      </c>
      <c r="M26" s="126">
        <f ca="1">OFFSET(IND!P$25,$E26,0)</f>
        <v>1.0538095000511196</v>
      </c>
      <c r="N26" s="126">
        <f ca="1">OFFSET(IND!Q$25,$E26,0)</f>
        <v>1.0455699253655044</v>
      </c>
      <c r="O26" s="203">
        <f ca="1">OFFSET(IND!R$25,$E26,0)</f>
        <v>0.99292225334832829</v>
      </c>
      <c r="P26" s="126">
        <f ca="1">OFFSET(IND!S$25,$E26,0)</f>
        <v>1.0227773356507512</v>
      </c>
      <c r="Q26" s="126">
        <f ca="1">OFFSET(IND!T$25,$E26,0)</f>
        <v>1.0500642388303851</v>
      </c>
      <c r="R26" s="126">
        <f ca="1">OFFSET(IND!U$25,$E26,0)</f>
        <v>1.0724287986913401</v>
      </c>
      <c r="S26" s="126">
        <f ca="1">OFFSET(IND!V$25,$E26,0)</f>
        <v>1.093402261527451</v>
      </c>
      <c r="T26" s="203">
        <f ca="1">OFFSET(IND!W$25,$E26,0)</f>
        <v>1.1158738288518555</v>
      </c>
      <c r="U26" s="126">
        <f ca="1">OFFSET(IND!X$25,$E26,0)</f>
        <v>1.1466919783253244</v>
      </c>
      <c r="V26" s="126">
        <f ca="1">OFFSET(IND!Y$25,$E26,0)</f>
        <v>1.1760120233104998</v>
      </c>
      <c r="W26" s="126">
        <f ca="1">OFFSET(IND!Z$25,$E26,0)</f>
        <v>1.2054390757591247</v>
      </c>
      <c r="X26" s="126">
        <f ca="1">OFFSET(IND!AA$25,$E26,0)</f>
        <v>1.2329399938656576</v>
      </c>
      <c r="Y26" s="205">
        <f ca="1">OFFSET(IND!AB$25,$E26,0)</f>
        <v>1.2609759492894383</v>
      </c>
      <c r="Z26" s="126">
        <f ca="1">OFFSET(IND!AC$25,$E26,0)</f>
        <v>1.2887978897863199</v>
      </c>
      <c r="AA26" s="126">
        <f ca="1">OFFSET(IND!AD$25,$E26,0)</f>
        <v>1.3145866884776602</v>
      </c>
      <c r="AB26" s="126">
        <f ca="1">OFFSET(IND!AE$25,$E26,0)</f>
        <v>1.342622643901441</v>
      </c>
      <c r="AC26" s="126">
        <f ca="1">OFFSET(IND!AF$25,$E26,0)</f>
        <v>1.3719426888866166</v>
      </c>
      <c r="AD26" s="126">
        <f ca="1">OFFSET(IND!AG$25,$E26,0)</f>
        <v>1.4019047786524892</v>
      </c>
      <c r="AE26" s="126">
        <f ca="1">OFFSET(IND!AH$25,$E26,0)</f>
        <v>1.435184099785298</v>
      </c>
      <c r="AF26" s="126">
        <f ca="1">OFFSET(IND!AI$25,$E26,0)</f>
        <v>1.4695334955526023</v>
      </c>
      <c r="AG26" s="126">
        <f ca="1">OFFSET(IND!AJ$25,$E26,0)</f>
        <v>1.5033478540026584</v>
      </c>
      <c r="AH26" s="126">
        <f ca="1">OFFSET(IND!AK$25,$E26,0)</f>
        <v>1.5379112646968611</v>
      </c>
      <c r="AI26" s="126">
        <f ca="1">OFFSET(IND!AL$25,$E26,0)</f>
        <v>1.5739727798793577</v>
      </c>
      <c r="AJ26" s="126">
        <f ca="1">OFFSET(IND!AM$25,$E26,0)</f>
        <v>1.7550294080359876</v>
      </c>
      <c r="AK26" s="126">
        <f ca="1">OFFSET(IND!AN$25,$E26,0)</f>
        <v>1.9731106185461602</v>
      </c>
      <c r="AL26" s="126">
        <f ca="1">OFFSET(IND!AO$25,$E26,0)</f>
        <v>2.3660776934873669</v>
      </c>
      <c r="AM26" s="126">
        <f ca="1">OFFSET(IND!AP$25,$E26,0)</f>
        <v>2.7652155321541718</v>
      </c>
      <c r="AQ26" s="4"/>
    </row>
    <row r="27" spans="1:43">
      <c r="A27" s="35" t="s">
        <v>327</v>
      </c>
      <c r="B27">
        <v>0.39796024947059999</v>
      </c>
      <c r="E27" s="129">
        <f ca="1">MATCH(F27,IND!$D$26:$D$255,0)</f>
        <v>170</v>
      </c>
      <c r="F27" s="4" t="str">
        <f t="shared" si="0"/>
        <v>IFBL</v>
      </c>
      <c r="G27" s="126">
        <f ca="1">OFFSET(IND!J$25,$E27,0)</f>
        <v>0.23948724947180039</v>
      </c>
      <c r="H27" s="126">
        <f ca="1">OFFSET(IND!K$25,$E27,0)</f>
        <v>0.24388599487026202</v>
      </c>
      <c r="I27" s="126">
        <f ca="1">OFFSET(IND!L$25,$E27,0)</f>
        <v>0.24705000471827832</v>
      </c>
      <c r="J27" s="126">
        <f ca="1">OFFSET(IND!M$25,$E27,0)</f>
        <v>0.22428000000000001</v>
      </c>
      <c r="K27" s="126">
        <f ca="1">OFFSET(IND!N$25,$E27,0)</f>
        <v>0.22428000000000001</v>
      </c>
      <c r="L27" s="126">
        <f ca="1">OFFSET(IND!O$25,$E27,0)</f>
        <v>0.22428000000000001</v>
      </c>
      <c r="M27" s="126">
        <f ca="1">OFFSET(IND!P$25,$E27,0)</f>
        <v>0.22581632143952562</v>
      </c>
      <c r="N27" s="126">
        <f ca="1">OFFSET(IND!Q$25,$E27,0)</f>
        <v>0.2240506982926081</v>
      </c>
      <c r="O27" s="203">
        <f ca="1">OFFSET(IND!R$25,$E27,0)</f>
        <v>0.21276905428892751</v>
      </c>
      <c r="P27" s="126">
        <f ca="1">OFFSET(IND!S$25,$E27,0)</f>
        <v>0.21916657192516098</v>
      </c>
      <c r="Q27" s="126">
        <f ca="1">OFFSET(IND!T$25,$E27,0)</f>
        <v>0.22501376546365395</v>
      </c>
      <c r="R27" s="126">
        <f ca="1">OFFSET(IND!U$25,$E27,0)</f>
        <v>0.22980617114814431</v>
      </c>
      <c r="S27" s="126">
        <f ca="1">OFFSET(IND!V$25,$E27,0)</f>
        <v>0.23430048461302519</v>
      </c>
      <c r="T27" s="203">
        <f ca="1">OFFSET(IND!W$25,$E27,0)</f>
        <v>0.23911582046825472</v>
      </c>
      <c r="U27" s="126">
        <f ca="1">OFFSET(IND!X$25,$E27,0)</f>
        <v>0.24571970964114093</v>
      </c>
      <c r="V27" s="126">
        <f ca="1">OFFSET(IND!Y$25,$E27,0)</f>
        <v>0.25200257642367851</v>
      </c>
      <c r="W27" s="126">
        <f ca="1">OFFSET(IND!Z$25,$E27,0)</f>
        <v>0.25830837337695528</v>
      </c>
      <c r="X27" s="126">
        <f ca="1">OFFSET(IND!AA$25,$E27,0)</f>
        <v>0.26420142725692664</v>
      </c>
      <c r="Y27" s="205">
        <f ca="1">OFFSET(IND!AB$25,$E27,0)</f>
        <v>0.27020913199059393</v>
      </c>
      <c r="Z27" s="126">
        <f ca="1">OFFSET(IND!AC$25,$E27,0)</f>
        <v>0.27617097638278282</v>
      </c>
      <c r="AA27" s="126">
        <f ca="1">OFFSET(IND!AD$25,$E27,0)</f>
        <v>0.28169714753092717</v>
      </c>
      <c r="AB27" s="126">
        <f ca="1">OFFSET(IND!AE$25,$E27,0)</f>
        <v>0.28770485226459452</v>
      </c>
      <c r="AC27" s="126">
        <f ca="1">OFFSET(IND!AF$25,$E27,0)</f>
        <v>0.29398771904713217</v>
      </c>
      <c r="AD27" s="126">
        <f ca="1">OFFSET(IND!AG$25,$E27,0)</f>
        <v>0.30040816685410487</v>
      </c>
      <c r="AE27" s="126">
        <f ca="1">OFFSET(IND!AH$25,$E27,0)</f>
        <v>0.30753944995399246</v>
      </c>
      <c r="AF27" s="126">
        <f ca="1">OFFSET(IND!AI$25,$E27,0)</f>
        <v>0.31490003476127193</v>
      </c>
      <c r="AG27" s="126">
        <f ca="1">OFFSET(IND!AJ$25,$E27,0)</f>
        <v>0.3221459687148554</v>
      </c>
      <c r="AH27" s="126">
        <f ca="1">OFFSET(IND!AK$25,$E27,0)</f>
        <v>0.32955241386361317</v>
      </c>
      <c r="AI27" s="126">
        <f ca="1">OFFSET(IND!AL$25,$E27,0)</f>
        <v>0.33727988140271958</v>
      </c>
      <c r="AJ27" s="126">
        <f ca="1">OFFSET(IND!AM$25,$E27,0)</f>
        <v>0.376077730293426</v>
      </c>
      <c r="AK27" s="126">
        <f ca="1">OFFSET(IND!AN$25,$E27,0)</f>
        <v>0.4228094182598916</v>
      </c>
      <c r="AL27" s="126">
        <f ca="1">OFFSET(IND!AO$25,$E27,0)</f>
        <v>0.50701664860443585</v>
      </c>
      <c r="AM27" s="126">
        <f ca="1">OFFSET(IND!AP$25,$E27,0)</f>
        <v>0.59254618546160831</v>
      </c>
      <c r="AQ27" s="4"/>
    </row>
    <row r="28" spans="1:43">
      <c r="A28" s="35" t="s">
        <v>328</v>
      </c>
      <c r="B28">
        <v>4.45715479407</v>
      </c>
      <c r="E28" s="129">
        <f ca="1">MATCH(F28,IND!$D$26:$D$255,0)</f>
        <v>175</v>
      </c>
      <c r="F28" s="4" t="str">
        <f t="shared" si="0"/>
        <v>IFBO</v>
      </c>
      <c r="G28" s="126">
        <f ca="1">OFFSET(IND!J$25,$E28,0)</f>
        <v>2.6822571940841642</v>
      </c>
      <c r="H28" s="126">
        <f ca="1">OFFSET(IND!K$25,$E28,0)</f>
        <v>2.7315231425469344</v>
      </c>
      <c r="I28" s="126">
        <f ca="1">OFFSET(IND!L$25,$E28,0)</f>
        <v>2.7669600528447171</v>
      </c>
      <c r="J28" s="126">
        <f ca="1">OFFSET(IND!M$25,$E28,0)</f>
        <v>2.5119360000000004</v>
      </c>
      <c r="K28" s="126">
        <f ca="1">OFFSET(IND!N$25,$E28,0)</f>
        <v>2.5119360000000004</v>
      </c>
      <c r="L28" s="126">
        <f ca="1">OFFSET(IND!O$25,$E28,0)</f>
        <v>2.5119360000000004</v>
      </c>
      <c r="M28" s="126">
        <f ca="1">OFFSET(IND!P$25,$E28,0)</f>
        <v>2.5291428001226874</v>
      </c>
      <c r="N28" s="126">
        <f ca="1">OFFSET(IND!Q$25,$E28,0)</f>
        <v>2.5093678208772112</v>
      </c>
      <c r="O28" s="203">
        <f ca="1">OFFSET(IND!R$25,$E28,0)</f>
        <v>2.3830134080359886</v>
      </c>
      <c r="P28" s="126">
        <f ca="1">OFFSET(IND!S$25,$E28,0)</f>
        <v>2.4546656055618037</v>
      </c>
      <c r="Q28" s="126">
        <f ca="1">OFFSET(IND!T$25,$E28,0)</f>
        <v>2.5201541731929251</v>
      </c>
      <c r="R28" s="126">
        <f ca="1">OFFSET(IND!U$25,$E28,0)</f>
        <v>2.5738291168592169</v>
      </c>
      <c r="S28" s="126">
        <f ca="1">OFFSET(IND!V$25,$E28,0)</f>
        <v>2.6241654276658828</v>
      </c>
      <c r="T28" s="203">
        <f ca="1">OFFSET(IND!W$25,$E28,0)</f>
        <v>2.6780971892444536</v>
      </c>
      <c r="U28" s="126">
        <f ca="1">OFFSET(IND!X$25,$E28,0)</f>
        <v>2.7520607479807793</v>
      </c>
      <c r="V28" s="126">
        <f ca="1">OFFSET(IND!Y$25,$E28,0)</f>
        <v>2.8224288559452</v>
      </c>
      <c r="W28" s="126">
        <f ca="1">OFFSET(IND!Z$25,$E28,0)</f>
        <v>2.8930537818218998</v>
      </c>
      <c r="X28" s="126">
        <f ca="1">OFFSET(IND!AA$25,$E28,0)</f>
        <v>2.9590559852775788</v>
      </c>
      <c r="Y28" s="205">
        <f ca="1">OFFSET(IND!AB$25,$E28,0)</f>
        <v>3.0263422782946527</v>
      </c>
      <c r="Z28" s="126">
        <f ca="1">OFFSET(IND!AC$25,$E28,0)</f>
        <v>3.0931149354871685</v>
      </c>
      <c r="AA28" s="126">
        <f ca="1">OFFSET(IND!AD$25,$E28,0)</f>
        <v>3.155008052346385</v>
      </c>
      <c r="AB28" s="126">
        <f ca="1">OFFSET(IND!AE$25,$E28,0)</f>
        <v>3.2222943453634594</v>
      </c>
      <c r="AC28" s="126">
        <f ca="1">OFFSET(IND!AF$25,$E28,0)</f>
        <v>3.2926624533278805</v>
      </c>
      <c r="AD28" s="126">
        <f ca="1">OFFSET(IND!AG$25,$E28,0)</f>
        <v>3.3645714687659747</v>
      </c>
      <c r="AE28" s="126">
        <f ca="1">OFFSET(IND!AH$25,$E28,0)</f>
        <v>3.4444418394847158</v>
      </c>
      <c r="AF28" s="126">
        <f ca="1">OFFSET(IND!AI$25,$E28,0)</f>
        <v>3.5268803893262457</v>
      </c>
      <c r="AG28" s="126">
        <f ca="1">OFFSET(IND!AJ$25,$E28,0)</f>
        <v>3.6080348496063803</v>
      </c>
      <c r="AH28" s="126">
        <f ca="1">OFFSET(IND!AK$25,$E28,0)</f>
        <v>3.6909870352724674</v>
      </c>
      <c r="AI28" s="126">
        <f ca="1">OFFSET(IND!AL$25,$E28,0)</f>
        <v>3.7775346717104594</v>
      </c>
      <c r="AJ28" s="126">
        <f ca="1">OFFSET(IND!AM$25,$E28,0)</f>
        <v>4.2120705792863715</v>
      </c>
      <c r="AK28" s="126">
        <f ca="1">OFFSET(IND!AN$25,$E28,0)</f>
        <v>4.7354654845107857</v>
      </c>
      <c r="AL28" s="126">
        <f ca="1">OFFSET(IND!AO$25,$E28,0)</f>
        <v>5.6785864643696815</v>
      </c>
      <c r="AM28" s="126">
        <f ca="1">OFFSET(IND!AP$25,$E28,0)</f>
        <v>6.6365172771700136</v>
      </c>
      <c r="AQ28" s="4"/>
    </row>
    <row r="29" spans="1:43">
      <c r="A29" s="35" t="s">
        <v>329</v>
      </c>
      <c r="B29">
        <v>5.9428730587610001</v>
      </c>
      <c r="E29" s="129">
        <f ca="1">MATCH(F29,IND!$D$26:$D$255,0)</f>
        <v>173</v>
      </c>
      <c r="F29" s="4" t="str">
        <f t="shared" si="0"/>
        <v>IFBP</v>
      </c>
      <c r="G29" s="126">
        <f ca="1">OFFSET(IND!J$25,$E29,0)</f>
        <v>3.576342925445553</v>
      </c>
      <c r="H29" s="126">
        <f ca="1">OFFSET(IND!K$25,$E29,0)</f>
        <v>3.6420308567292468</v>
      </c>
      <c r="I29" s="126">
        <f ca="1">OFFSET(IND!L$25,$E29,0)</f>
        <v>3.6892800704596236</v>
      </c>
      <c r="J29" s="126">
        <f ca="1">OFFSET(IND!M$25,$E29,0)</f>
        <v>3.3492480000000002</v>
      </c>
      <c r="K29" s="126">
        <f ca="1">OFFSET(IND!N$25,$E29,0)</f>
        <v>3.3492480000000002</v>
      </c>
      <c r="L29" s="126">
        <f ca="1">OFFSET(IND!O$25,$E29,0)</f>
        <v>3.3492480000000002</v>
      </c>
      <c r="M29" s="126">
        <f ca="1">OFFSET(IND!P$25,$E29,0)</f>
        <v>3.372190400163583</v>
      </c>
      <c r="N29" s="126">
        <f ca="1">OFFSET(IND!Q$25,$E29,0)</f>
        <v>3.3458237611696147</v>
      </c>
      <c r="O29" s="203">
        <f ca="1">OFFSET(IND!R$25,$E29,0)</f>
        <v>3.1773512107146513</v>
      </c>
      <c r="P29" s="126">
        <f ca="1">OFFSET(IND!S$25,$E29,0)</f>
        <v>3.2728874740824048</v>
      </c>
      <c r="Q29" s="126">
        <f ca="1">OFFSET(IND!T$25,$E29,0)</f>
        <v>3.3602055642572335</v>
      </c>
      <c r="R29" s="126">
        <f ca="1">OFFSET(IND!U$25,$E29,0)</f>
        <v>3.4317721558122893</v>
      </c>
      <c r="S29" s="126">
        <f ca="1">OFFSET(IND!V$25,$E29,0)</f>
        <v>3.4988872368878439</v>
      </c>
      <c r="T29" s="203">
        <f ca="1">OFFSET(IND!W$25,$E29,0)</f>
        <v>3.570796252325938</v>
      </c>
      <c r="U29" s="126">
        <f ca="1">OFFSET(IND!X$25,$E29,0)</f>
        <v>3.6694143306410387</v>
      </c>
      <c r="V29" s="126">
        <f ca="1">OFFSET(IND!Y$25,$E29,0)</f>
        <v>3.7632384745935998</v>
      </c>
      <c r="W29" s="126">
        <f ca="1">OFFSET(IND!Z$25,$E29,0)</f>
        <v>3.8574050424291997</v>
      </c>
      <c r="X29" s="126">
        <f ca="1">OFFSET(IND!AA$25,$E29,0)</f>
        <v>3.945407980370105</v>
      </c>
      <c r="Y29" s="205">
        <f ca="1">OFFSET(IND!AB$25,$E29,0)</f>
        <v>4.0351230377262031</v>
      </c>
      <c r="Z29" s="126">
        <f ca="1">OFFSET(IND!AC$25,$E29,0)</f>
        <v>4.1241532473162241</v>
      </c>
      <c r="AA29" s="126">
        <f ca="1">OFFSET(IND!AD$25,$E29,0)</f>
        <v>4.2066774031285128</v>
      </c>
      <c r="AB29" s="126">
        <f ca="1">OFFSET(IND!AE$25,$E29,0)</f>
        <v>4.2963924604846113</v>
      </c>
      <c r="AC29" s="126">
        <f ca="1">OFFSET(IND!AF$25,$E29,0)</f>
        <v>4.3902166044371729</v>
      </c>
      <c r="AD29" s="126">
        <f ca="1">OFFSET(IND!AG$25,$E29,0)</f>
        <v>4.4860952916879651</v>
      </c>
      <c r="AE29" s="126">
        <f ca="1">OFFSET(IND!AH$25,$E29,0)</f>
        <v>4.5925891193129527</v>
      </c>
      <c r="AF29" s="126">
        <f ca="1">OFFSET(IND!AI$25,$E29,0)</f>
        <v>4.7025071857683258</v>
      </c>
      <c r="AG29" s="126">
        <f ca="1">OFFSET(IND!AJ$25,$E29,0)</f>
        <v>4.8107131328085053</v>
      </c>
      <c r="AH29" s="126">
        <f ca="1">OFFSET(IND!AK$25,$E29,0)</f>
        <v>4.9213160470299542</v>
      </c>
      <c r="AI29" s="126">
        <f ca="1">OFFSET(IND!AL$25,$E29,0)</f>
        <v>5.0367128956139435</v>
      </c>
      <c r="AJ29" s="126">
        <f ca="1">OFFSET(IND!AM$25,$E29,0)</f>
        <v>5.6160941057151597</v>
      </c>
      <c r="AK29" s="126">
        <f ca="1">OFFSET(IND!AN$25,$E29,0)</f>
        <v>6.313953979347712</v>
      </c>
      <c r="AL29" s="126">
        <f ca="1">OFFSET(IND!AO$25,$E29,0)</f>
        <v>7.5714486191595727</v>
      </c>
      <c r="AM29" s="126">
        <f ca="1">OFFSET(IND!AP$25,$E29,0)</f>
        <v>8.8486897028933473</v>
      </c>
      <c r="AQ29" s="4"/>
    </row>
    <row r="30" spans="1:43">
      <c r="A30" s="35" t="s">
        <v>330</v>
      </c>
      <c r="B30">
        <v>28.205650466129999</v>
      </c>
      <c r="E30" s="129">
        <f ca="1">MATCH(F30,IND!$D$26:$D$255,0)</f>
        <v>178</v>
      </c>
      <c r="F30" s="4" t="str">
        <f t="shared" si="0"/>
        <v>IFBS</v>
      </c>
      <c r="G30" s="126">
        <f ca="1">OFFSET(IND!J$25,$E30,0)</f>
        <v>20.421862032418336</v>
      </c>
      <c r="H30" s="126">
        <f ca="1">OFFSET(IND!K$25,$E30,0)</f>
        <v>20.79695745750357</v>
      </c>
      <c r="I30" s="126">
        <f ca="1">OFFSET(IND!L$25,$E30,0)</f>
        <v>21.066762938705232</v>
      </c>
      <c r="J30" s="126">
        <f ca="1">OFFSET(IND!M$25,$E30,0)</f>
        <v>6.8922304000000008</v>
      </c>
      <c r="K30" s="126">
        <f ca="1">OFFSET(IND!N$25,$E30,0)</f>
        <v>6.8922304000000008</v>
      </c>
      <c r="L30" s="126">
        <f ca="1">OFFSET(IND!O$25,$E30,0)</f>
        <v>6.8922304000000008</v>
      </c>
      <c r="M30" s="126">
        <f ca="1">OFFSET(IND!P$25,$E30,0)</f>
        <v>6.9394422839382486</v>
      </c>
      <c r="N30" s="126">
        <f ca="1">OFFSET(IND!Q$25,$E30,0)</f>
        <v>6.8851838501584703</v>
      </c>
      <c r="O30" s="203">
        <f ca="1">OFFSET(IND!R$25,$E30,0)</f>
        <v>6.5384935979552194</v>
      </c>
      <c r="P30" s="126">
        <f ca="1">OFFSET(IND!S$25,$E30,0)</f>
        <v>6.7350923385338914</v>
      </c>
      <c r="Q30" s="126">
        <f ca="1">OFFSET(IND!T$25,$E30,0)</f>
        <v>6.9147793594928935</v>
      </c>
      <c r="R30" s="126">
        <f ca="1">OFFSET(IND!U$25,$E30,0)</f>
        <v>7.0620522511808606</v>
      </c>
      <c r="S30" s="126">
        <f ca="1">OFFSET(IND!V$25,$E30,0)</f>
        <v>7.2001646280748384</v>
      </c>
      <c r="T30" s="203">
        <f ca="1">OFFSET(IND!W$25,$E30,0)</f>
        <v>7.3481421747469575</v>
      </c>
      <c r="U30" s="126">
        <f ca="1">OFFSET(IND!X$25,$E30,0)</f>
        <v>7.551082810183007</v>
      </c>
      <c r="V30" s="126">
        <f ca="1">OFFSET(IND!Y$25,$E30,0)</f>
        <v>7.7441582758409151</v>
      </c>
      <c r="W30" s="126">
        <f ca="1">OFFSET(IND!Z$25,$E30,0)</f>
        <v>7.9379383964829771</v>
      </c>
      <c r="X30" s="126">
        <f ca="1">OFFSET(IND!AA$25,$E30,0)</f>
        <v>8.1190347274102841</v>
      </c>
      <c r="Y30" s="205">
        <f ca="1">OFFSET(IND!AB$25,$E30,0)</f>
        <v>8.3036543332583559</v>
      </c>
      <c r="Z30" s="126">
        <f ca="1">OFFSET(IND!AC$25,$E30,0)</f>
        <v>8.4868646291381218</v>
      </c>
      <c r="AA30" s="126">
        <f ca="1">OFFSET(IND!AD$25,$E30,0)</f>
        <v>8.6566864803189816</v>
      </c>
      <c r="AB30" s="126">
        <f ca="1">OFFSET(IND!AE$25,$E30,0)</f>
        <v>8.8413060861670552</v>
      </c>
      <c r="AC30" s="126">
        <f ca="1">OFFSET(IND!AF$25,$E30,0)</f>
        <v>9.0343815518249642</v>
      </c>
      <c r="AD30" s="126">
        <f ca="1">OFFSET(IND!AG$25,$E30,0)</f>
        <v>9.2316849473877891</v>
      </c>
      <c r="AE30" s="126">
        <f ca="1">OFFSET(IND!AH$25,$E30,0)</f>
        <v>9.4508326474593574</v>
      </c>
      <c r="AF30" s="126">
        <f ca="1">OFFSET(IND!AI$25,$E30,0)</f>
        <v>9.6770268973724551</v>
      </c>
      <c r="AG30" s="126">
        <f ca="1">OFFSET(IND!AJ$25,$E30,0)</f>
        <v>9.8996978723647864</v>
      </c>
      <c r="AH30" s="126">
        <f ca="1">OFFSET(IND!AK$25,$E30,0)</f>
        <v>10.127301432246188</v>
      </c>
      <c r="AI30" s="126">
        <f ca="1">OFFSET(IND!AL$25,$E30,0)</f>
        <v>10.364770161905732</v>
      </c>
      <c r="AJ30" s="126">
        <f ca="1">OFFSET(IND!AM$25,$E30,0)</f>
        <v>11.55704639509252</v>
      </c>
      <c r="AK30" s="126">
        <f ca="1">OFFSET(IND!AN$25,$E30,0)</f>
        <v>12.99313325279623</v>
      </c>
      <c r="AL30" s="126">
        <f ca="1">OFFSET(IND!AO$25,$E30,0)</f>
        <v>15.580861239600539</v>
      </c>
      <c r="AM30" s="126">
        <f ca="1">OFFSET(IND!AP$25,$E30,0)</f>
        <v>18.209224330491054</v>
      </c>
      <c r="AQ30" s="4"/>
    </row>
    <row r="31" spans="1:43">
      <c r="A31" s="35" t="s">
        <v>331</v>
      </c>
      <c r="B31">
        <v>1.0975498905550001</v>
      </c>
      <c r="E31" s="129">
        <f ca="1">MATCH(F31,IND!$D$26:$D$255,0)</f>
        <v>47</v>
      </c>
      <c r="F31" s="4" t="str">
        <f t="shared" si="0"/>
        <v>IMIA</v>
      </c>
      <c r="G31" s="126">
        <f ca="1">OFFSET(IND!J$25,$E31,0)</f>
        <v>0.99318058118269725</v>
      </c>
      <c r="H31" s="126">
        <f ca="1">OFFSET(IND!K$25,$E31,0)</f>
        <v>1.0193812422608317</v>
      </c>
      <c r="I31" s="126">
        <f ca="1">OFFSET(IND!L$25,$E31,0)</f>
        <v>1.0212123456398166</v>
      </c>
      <c r="J31" s="126">
        <f ca="1">OFFSET(IND!M$25,$E31,0)</f>
        <v>1.0228235984706235</v>
      </c>
      <c r="K31" s="126">
        <f ca="1">OFFSET(IND!N$25,$E31,0)</f>
        <v>1.0228235984706235</v>
      </c>
      <c r="L31" s="126">
        <f ca="1">OFFSET(IND!O$25,$E31,0)</f>
        <v>1.0228235984706235</v>
      </c>
      <c r="M31" s="126">
        <f ca="1">OFFSET(IND!P$25,$E31,0)</f>
        <v>1.0151524881224319</v>
      </c>
      <c r="N31" s="126">
        <f ca="1">OFFSET(IND!Q$25,$E31,0)</f>
        <v>1.000849843656753</v>
      </c>
      <c r="O31" s="203">
        <f ca="1">OFFSET(IND!R$25,$E31,0)</f>
        <v>0.92234418114356254</v>
      </c>
      <c r="P31" s="126">
        <f ca="1">OFFSET(IND!S$25,$E31,0)</f>
        <v>0.94241529135267876</v>
      </c>
      <c r="Q31" s="126">
        <f ca="1">OFFSET(IND!T$25,$E31,0)</f>
        <v>0.95954475510008885</v>
      </c>
      <c r="R31" s="126">
        <f ca="1">OFFSET(IND!U$25,$E31,0)</f>
        <v>0.97591839899894306</v>
      </c>
      <c r="S31" s="126">
        <f ca="1">OFFSET(IND!V$25,$E31,0)</f>
        <v>0.9918163528594961</v>
      </c>
      <c r="T31" s="203">
        <f ca="1">OFFSET(IND!W$25,$E31,0)</f>
        <v>1.0120187720071914</v>
      </c>
      <c r="U31" s="126">
        <f ca="1">OFFSET(IND!X$25,$E31,0)</f>
        <v>1.0412926678446102</v>
      </c>
      <c r="V31" s="126">
        <f ca="1">OFFSET(IND!Y$25,$E31,0)</f>
        <v>1.0728064853661383</v>
      </c>
      <c r="W31" s="126">
        <f ca="1">OFFSET(IND!Z$25,$E31,0)</f>
        <v>1.106586896516933</v>
      </c>
      <c r="X31" s="126">
        <f ca="1">OFFSET(IND!AA$25,$E31,0)</f>
        <v>1.1371411944941159</v>
      </c>
      <c r="Y31" s="205">
        <f ca="1">OFFSET(IND!AB$25,$E31,0)</f>
        <v>1.1719149885225106</v>
      </c>
      <c r="Z31" s="126">
        <f ca="1">OFFSET(IND!AC$25,$E31,0)</f>
        <v>1.2000817000850563</v>
      </c>
      <c r="AA31" s="126">
        <f ca="1">OFFSET(IND!AD$25,$E31,0)</f>
        <v>1.226200831551743</v>
      </c>
      <c r="AB31" s="126">
        <f ca="1">OFFSET(IND!AE$25,$E31,0)</f>
        <v>1.2540179562686542</v>
      </c>
      <c r="AC31" s="126">
        <f ca="1">OFFSET(IND!AF$25,$E31,0)</f>
        <v>1.2830336644563121</v>
      </c>
      <c r="AD31" s="126">
        <f ca="1">OFFSET(IND!AG$25,$E31,0)</f>
        <v>1.3125987234013954</v>
      </c>
      <c r="AE31" s="126">
        <f ca="1">OFFSET(IND!AH$25,$E31,0)</f>
        <v>1.3452601229792409</v>
      </c>
      <c r="AF31" s="126">
        <f ca="1">OFFSET(IND!AI$25,$E31,0)</f>
        <v>1.3792199879837288</v>
      </c>
      <c r="AG31" s="126">
        <f ca="1">OFFSET(IND!AJ$25,$E31,0)</f>
        <v>1.4132297939661642</v>
      </c>
      <c r="AH31" s="126">
        <f ca="1">OFFSET(IND!AK$25,$E31,0)</f>
        <v>1.448538065375242</v>
      </c>
      <c r="AI31" s="126">
        <f ca="1">OFFSET(IND!AL$25,$E31,0)</f>
        <v>1.4863433856817083</v>
      </c>
      <c r="AJ31" s="126">
        <f ca="1">OFFSET(IND!AM$25,$E31,0)</f>
        <v>1.669576833772098</v>
      </c>
      <c r="AK31" s="126">
        <f ca="1">OFFSET(IND!AN$25,$E31,0)</f>
        <v>1.8977571620154867</v>
      </c>
      <c r="AL31" s="126">
        <f ca="1">OFFSET(IND!AO$25,$E31,0)</f>
        <v>2.3016797916571039</v>
      </c>
      <c r="AM31" s="126">
        <f ca="1">OFFSET(IND!AP$25,$E31,0)</f>
        <v>2.7130935679908874</v>
      </c>
      <c r="AQ31" s="4"/>
    </row>
    <row r="32" spans="1:43">
      <c r="A32" s="35" t="s">
        <v>332</v>
      </c>
      <c r="B32">
        <v>19.17682172608</v>
      </c>
      <c r="E32" s="129">
        <f ca="1">MATCH(F32,IND!$D$26:$D$255,0)</f>
        <v>49</v>
      </c>
      <c r="F32" s="4" t="str">
        <f t="shared" si="0"/>
        <v>IMIC</v>
      </c>
      <c r="G32" s="126">
        <f ca="1">OFFSET(IND!J$25,$E32,0)</f>
        <v>17.35324025908308</v>
      </c>
      <c r="H32" s="126">
        <f ca="1">OFFSET(IND!K$25,$E32,0)</f>
        <v>17.811028475294727</v>
      </c>
      <c r="I32" s="126">
        <f ca="1">OFFSET(IND!L$25,$E32,0)</f>
        <v>17.843022230989085</v>
      </c>
      <c r="J32" s="126">
        <f ca="1">OFFSET(IND!M$25,$E32,0)</f>
        <v>17.871174671764589</v>
      </c>
      <c r="K32" s="126">
        <f ca="1">OFFSET(IND!N$25,$E32,0)</f>
        <v>17.871174671764589</v>
      </c>
      <c r="L32" s="126">
        <f ca="1">OFFSET(IND!O$25,$E32,0)</f>
        <v>17.871174671764589</v>
      </c>
      <c r="M32" s="126">
        <f ca="1">OFFSET(IND!P$25,$E32,0)</f>
        <v>17.737142026092449</v>
      </c>
      <c r="N32" s="126">
        <f ca="1">OFFSET(IND!Q$25,$E32,0)</f>
        <v>17.48724061797429</v>
      </c>
      <c r="O32" s="203">
        <f ca="1">OFFSET(IND!R$25,$E32,0)</f>
        <v>16.115558922720439</v>
      </c>
      <c r="P32" s="126">
        <f ca="1">OFFSET(IND!S$25,$E32,0)</f>
        <v>16.466249224488692</v>
      </c>
      <c r="Q32" s="126">
        <f ca="1">OFFSET(IND!T$25,$E32,0)</f>
        <v>16.765541926692041</v>
      </c>
      <c r="R32" s="126">
        <f ca="1">OFFSET(IND!U$25,$E32,0)</f>
        <v>17.051628648358641</v>
      </c>
      <c r="S32" s="126">
        <f ca="1">OFFSET(IND!V$25,$E32,0)</f>
        <v>17.32940392729278</v>
      </c>
      <c r="T32" s="203">
        <f ca="1">OFFSET(IND!W$25,$E32,0)</f>
        <v>17.682388510284913</v>
      </c>
      <c r="U32" s="126">
        <f ca="1">OFFSET(IND!X$25,$E32,0)</f>
        <v>18.193873488355234</v>
      </c>
      <c r="V32" s="126">
        <f ca="1">OFFSET(IND!Y$25,$E32,0)</f>
        <v>18.744495255728857</v>
      </c>
      <c r="W32" s="126">
        <f ca="1">OFFSET(IND!Z$25,$E32,0)</f>
        <v>19.334719835082083</v>
      </c>
      <c r="X32" s="126">
        <f ca="1">OFFSET(IND!AA$25,$E32,0)</f>
        <v>19.868576501021202</v>
      </c>
      <c r="Y32" s="205">
        <f ca="1">OFFSET(IND!AB$25,$E32,0)</f>
        <v>20.476157855235776</v>
      </c>
      <c r="Z32" s="126">
        <f ca="1">OFFSET(IND!AC$25,$E32,0)</f>
        <v>20.968297675842315</v>
      </c>
      <c r="AA32" s="126">
        <f ca="1">OFFSET(IND!AD$25,$E32,0)</f>
        <v>21.42466137473809</v>
      </c>
      <c r="AB32" s="126">
        <f ca="1">OFFSET(IND!AE$25,$E32,0)</f>
        <v>21.910693077003764</v>
      </c>
      <c r="AC32" s="126">
        <f ca="1">OFFSET(IND!AF$25,$E32,0)</f>
        <v>22.417666899295252</v>
      </c>
      <c r="AD32" s="126">
        <f ca="1">OFFSET(IND!AG$25,$E32,0)</f>
        <v>22.934239193265235</v>
      </c>
      <c r="AE32" s="126">
        <f ca="1">OFFSET(IND!AH$25,$E32,0)</f>
        <v>23.50491196396856</v>
      </c>
      <c r="AF32" s="126">
        <f ca="1">OFFSET(IND!AI$25,$E32,0)</f>
        <v>24.098272031366513</v>
      </c>
      <c r="AG32" s="126">
        <f ca="1">OFFSET(IND!AJ$25,$E32,0)</f>
        <v>24.692504687098872</v>
      </c>
      <c r="AH32" s="126">
        <f ca="1">OFFSET(IND!AK$25,$E32,0)</f>
        <v>25.309424639525862</v>
      </c>
      <c r="AI32" s="126">
        <f ca="1">OFFSET(IND!AL$25,$E32,0)</f>
        <v>25.969974008673287</v>
      </c>
      <c r="AJ32" s="126">
        <f ca="1">OFFSET(IND!AM$25,$E32,0)</f>
        <v>29.171500607618992</v>
      </c>
      <c r="AK32" s="126">
        <f ca="1">OFFSET(IND!AN$25,$E32,0)</f>
        <v>33.158356707532583</v>
      </c>
      <c r="AL32" s="126">
        <f ca="1">OFFSET(IND!AO$25,$E32,0)</f>
        <v>40.215851156230663</v>
      </c>
      <c r="AM32" s="126">
        <f ca="1">OFFSET(IND!AP$25,$E32,0)</f>
        <v>47.404233855090048</v>
      </c>
      <c r="AQ32" s="4"/>
    </row>
    <row r="33" spans="1:43">
      <c r="A33" s="35" t="s">
        <v>333</v>
      </c>
      <c r="B33">
        <v>0.20646280210080001</v>
      </c>
      <c r="E33" s="129">
        <f ca="1">MATCH(F33,IND!$D$26:$D$255,0)</f>
        <v>54</v>
      </c>
      <c r="F33" s="4" t="str">
        <f t="shared" si="0"/>
        <v>IMIE</v>
      </c>
      <c r="G33" s="126">
        <f ca="1">OFFSET(IND!J$25,$E33,0)</f>
        <v>0.18682963530638833</v>
      </c>
      <c r="H33" s="126">
        <f ca="1">OFFSET(IND!K$25,$E33,0)</f>
        <v>0.19175830592959464</v>
      </c>
      <c r="I33" s="126">
        <f ca="1">OFFSET(IND!L$25,$E33,0)</f>
        <v>0.1921027592777427</v>
      </c>
      <c r="J33" s="126">
        <f ca="1">OFFSET(IND!M$25,$E33,0)</f>
        <v>0.19240585599999999</v>
      </c>
      <c r="K33" s="126">
        <f ca="1">OFFSET(IND!N$25,$E33,0)</f>
        <v>0.19240585599999999</v>
      </c>
      <c r="L33" s="126">
        <f ca="1">OFFSET(IND!O$25,$E33,0)</f>
        <v>0.19240585599999999</v>
      </c>
      <c r="M33" s="126">
        <f ca="1">OFFSET(IND!P$25,$E33,0)</f>
        <v>0.19096282461587744</v>
      </c>
      <c r="N33" s="126">
        <f ca="1">OFFSET(IND!Q$25,$E33,0)</f>
        <v>0.18827231908237452</v>
      </c>
      <c r="O33" s="203">
        <f ca="1">OFFSET(IND!R$25,$E33,0)</f>
        <v>0.17350442633988872</v>
      </c>
      <c r="P33" s="126">
        <f ca="1">OFFSET(IND!S$25,$E33,0)</f>
        <v>0.17728005211390263</v>
      </c>
      <c r="Q33" s="126">
        <f ca="1">OFFSET(IND!T$25,$E33,0)</f>
        <v>0.1805023175564183</v>
      </c>
      <c r="R33" s="126">
        <f ca="1">OFFSET(IND!U$25,$E33,0)</f>
        <v>0.18358240387326594</v>
      </c>
      <c r="S33" s="126">
        <f ca="1">OFFSET(IND!V$25,$E33,0)</f>
        <v>0.18657300697018506</v>
      </c>
      <c r="T33" s="203">
        <f ca="1">OFFSET(IND!W$25,$E33,0)</f>
        <v>0.19037333359072378</v>
      </c>
      <c r="U33" s="126">
        <f ca="1">OFFSET(IND!X$25,$E33,0)</f>
        <v>0.19588011794285973</v>
      </c>
      <c r="V33" s="126">
        <f ca="1">OFFSET(IND!Y$25,$E33,0)</f>
        <v>0.2018082594573142</v>
      </c>
      <c r="W33" s="126">
        <f ca="1">OFFSET(IND!Z$25,$E33,0)</f>
        <v>0.20816277545911457</v>
      </c>
      <c r="X33" s="126">
        <f ca="1">OFFSET(IND!AA$25,$E33,0)</f>
        <v>0.21391041939846955</v>
      </c>
      <c r="Y33" s="205">
        <f ca="1">OFFSET(IND!AB$25,$E33,0)</f>
        <v>0.22045180309005158</v>
      </c>
      <c r="Z33" s="126">
        <f ca="1">OFFSET(IND!AC$25,$E33,0)</f>
        <v>0.22575031229242054</v>
      </c>
      <c r="AA33" s="126">
        <f ca="1">OFFSET(IND!AD$25,$E33,0)</f>
        <v>0.23066364618043281</v>
      </c>
      <c r="AB33" s="126">
        <f ca="1">OFFSET(IND!AE$25,$E33,0)</f>
        <v>0.23589639374376523</v>
      </c>
      <c r="AC33" s="126">
        <f ca="1">OFFSET(IND!AF$25,$E33,0)</f>
        <v>0.24135460978379422</v>
      </c>
      <c r="AD33" s="126">
        <f ca="1">OFFSET(IND!AG$25,$E33,0)</f>
        <v>0.24691616554230914</v>
      </c>
      <c r="AE33" s="126">
        <f ca="1">OFFSET(IND!AH$25,$E33,0)</f>
        <v>0.2530601815322901</v>
      </c>
      <c r="AF33" s="126">
        <f ca="1">OFFSET(IND!AI$25,$E33,0)</f>
        <v>0.25944845503869235</v>
      </c>
      <c r="AG33" s="126">
        <f ca="1">OFFSET(IND!AJ$25,$E33,0)</f>
        <v>0.26584612306495697</v>
      </c>
      <c r="AH33" s="126">
        <f ca="1">OFFSET(IND!AK$25,$E33,0)</f>
        <v>0.27248804860764286</v>
      </c>
      <c r="AI33" s="126">
        <f ca="1">OFFSET(IND!AL$25,$E33,0)</f>
        <v>0.27959970014344654</v>
      </c>
      <c r="AJ33" s="126">
        <f ca="1">OFFSET(IND!AM$25,$E33,0)</f>
        <v>0.31406819351843152</v>
      </c>
      <c r="AK33" s="126">
        <f ca="1">OFFSET(IND!AN$25,$E33,0)</f>
        <v>0.35699175476953726</v>
      </c>
      <c r="AL33" s="126">
        <f ca="1">OFFSET(IND!AO$25,$E33,0)</f>
        <v>0.43297463141627551</v>
      </c>
      <c r="AM33" s="126">
        <f ca="1">OFFSET(IND!AP$25,$E33,0)</f>
        <v>0.51036668604236712</v>
      </c>
      <c r="AQ33" s="4"/>
    </row>
    <row r="34" spans="1:43">
      <c r="A34" s="35" t="s">
        <v>334</v>
      </c>
      <c r="B34">
        <v>6.5077475668130003</v>
      </c>
      <c r="E34" s="129">
        <f ca="1">MATCH(F34,IND!$D$26:$D$255,0)</f>
        <v>52</v>
      </c>
      <c r="F34" s="4" t="str">
        <f t="shared" si="0"/>
        <v>IMIF</v>
      </c>
      <c r="G34" s="126">
        <f ca="1">OFFSET(IND!J$25,$E34,0)</f>
        <v>5.8889063414920679</v>
      </c>
      <c r="H34" s="126">
        <f ca="1">OFFSET(IND!K$25,$E34,0)</f>
        <v>6.0442589954782893</v>
      </c>
      <c r="I34" s="126">
        <f ca="1">OFFSET(IND!L$25,$E34,0)</f>
        <v>6.055116231820536</v>
      </c>
      <c r="J34" s="126">
        <f ca="1">OFFSET(IND!M$25,$E34,0)</f>
        <v>6.0646698992933636</v>
      </c>
      <c r="K34" s="126">
        <f ca="1">OFFSET(IND!N$25,$E34,0)</f>
        <v>6.0646698992933636</v>
      </c>
      <c r="L34" s="126">
        <f ca="1">OFFSET(IND!O$25,$E34,0)</f>
        <v>6.0646698992933636</v>
      </c>
      <c r="M34" s="126">
        <f ca="1">OFFSET(IND!P$25,$E34,0)</f>
        <v>6.0191852701819517</v>
      </c>
      <c r="N34" s="126">
        <f ca="1">OFFSET(IND!Q$25,$E34,0)</f>
        <v>5.9343800139276022</v>
      </c>
      <c r="O34" s="203">
        <f ca="1">OFFSET(IND!R$25,$E34,0)</f>
        <v>5.4688931703704782</v>
      </c>
      <c r="P34" s="126">
        <f ca="1">OFFSET(IND!S$25,$E34,0)</f>
        <v>5.5879016270707691</v>
      </c>
      <c r="Q34" s="126">
        <f ca="1">OFFSET(IND!T$25,$E34,0)</f>
        <v>5.6894680587949571</v>
      </c>
      <c r="R34" s="126">
        <f ca="1">OFFSET(IND!U$25,$E34,0)</f>
        <v>5.7865529769016657</v>
      </c>
      <c r="S34" s="126">
        <f ca="1">OFFSET(IND!V$25,$E34,0)</f>
        <v>5.8808173665604651</v>
      </c>
      <c r="T34" s="203">
        <f ca="1">OFFSET(IND!W$25,$E34,0)</f>
        <v>6.0006043987340822</v>
      </c>
      <c r="U34" s="126">
        <f ca="1">OFFSET(IND!X$25,$E34,0)</f>
        <v>6.1741793095845008</v>
      </c>
      <c r="V34" s="126">
        <f ca="1">OFFSET(IND!Y$25,$E34,0)</f>
        <v>6.3610354799157376</v>
      </c>
      <c r="W34" s="126">
        <f ca="1">OFFSET(IND!Z$25,$E34,0)</f>
        <v>6.5613310567857921</v>
      </c>
      <c r="X34" s="126">
        <f ca="1">OFFSET(IND!AA$25,$E34,0)</f>
        <v>6.7424979085413961</v>
      </c>
      <c r="Y34" s="205">
        <f ca="1">OFFSET(IND!AB$25,$E34,0)</f>
        <v>6.9486835912373843</v>
      </c>
      <c r="Z34" s="126">
        <f ca="1">OFFSET(IND!AC$25,$E34,0)</f>
        <v>7.1156936289710373</v>
      </c>
      <c r="AA34" s="126">
        <f ca="1">OFFSET(IND!AD$25,$E34,0)</f>
        <v>7.2705628660892989</v>
      </c>
      <c r="AB34" s="126">
        <f ca="1">OFFSET(IND!AE$25,$E34,0)</f>
        <v>7.4355000842056889</v>
      </c>
      <c r="AC34" s="126">
        <f ca="1">OFFSET(IND!AF$25,$E34,0)</f>
        <v>7.607544112438406</v>
      </c>
      <c r="AD34" s="126">
        <f ca="1">OFFSET(IND!AG$25,$E34,0)</f>
        <v>7.7828454286411048</v>
      </c>
      <c r="AE34" s="126">
        <f ca="1">OFFSET(IND!AH$25,$E34,0)</f>
        <v>7.9765060043109779</v>
      </c>
      <c r="AF34" s="126">
        <f ca="1">OFFSET(IND!AI$25,$E34,0)</f>
        <v>8.1778656242735384</v>
      </c>
      <c r="AG34" s="126">
        <f ca="1">OFFSET(IND!AJ$25,$E34,0)</f>
        <v>8.3795213613242776</v>
      </c>
      <c r="AH34" s="126">
        <f ca="1">OFFSET(IND!AK$25,$E34,0)</f>
        <v>8.5888761426677043</v>
      </c>
      <c r="AI34" s="126">
        <f ca="1">OFFSET(IND!AL$25,$E34,0)</f>
        <v>8.8130367784201411</v>
      </c>
      <c r="AJ34" s="126">
        <f ca="1">OFFSET(IND!AM$25,$E34,0)</f>
        <v>9.8994903749534195</v>
      </c>
      <c r="AK34" s="126">
        <f ca="1">OFFSET(IND!AN$25,$E34,0)</f>
        <v>11.252449350848913</v>
      </c>
      <c r="AL34" s="126">
        <f ca="1">OFFSET(IND!AO$25,$E34,0)</f>
        <v>13.647444360050681</v>
      </c>
      <c r="AM34" s="126">
        <f ca="1">OFFSET(IND!AP$25,$E34,0)</f>
        <v>16.086856932479481</v>
      </c>
      <c r="AQ34" s="4"/>
    </row>
    <row r="35" spans="1:43">
      <c r="A35" s="35" t="s">
        <v>335</v>
      </c>
      <c r="B35">
        <v>8.5041886448849997</v>
      </c>
      <c r="E35" s="129">
        <f ca="1">MATCH(F35,IND!$D$26:$D$255,0)</f>
        <v>50</v>
      </c>
      <c r="F35" s="4" t="str">
        <f t="shared" si="0"/>
        <v>IMIH</v>
      </c>
      <c r="G35" s="126">
        <f ca="1">OFFSET(IND!J$25,$E35,0)</f>
        <v>7.6954998524370488</v>
      </c>
      <c r="H35" s="126">
        <f ca="1">OFFSET(IND!K$25,$E35,0)</f>
        <v>7.8985114570542425</v>
      </c>
      <c r="I35" s="126">
        <f ca="1">OFFSET(IND!L$25,$E35,0)</f>
        <v>7.9126994668177781</v>
      </c>
      <c r="J35" s="126">
        <f ca="1">OFFSET(IND!M$25,$E35,0)</f>
        <v>7.9251840000000016</v>
      </c>
      <c r="K35" s="126">
        <f ca="1">OFFSET(IND!N$25,$E35,0)</f>
        <v>7.9251840000000016</v>
      </c>
      <c r="L35" s="126">
        <f ca="1">OFFSET(IND!O$25,$E35,0)</f>
        <v>7.9251840000000016</v>
      </c>
      <c r="M35" s="126">
        <f ca="1">OFFSET(IND!P$25,$E35,0)</f>
        <v>7.8657456363519334</v>
      </c>
      <c r="N35" s="126">
        <f ca="1">OFFSET(IND!Q$25,$E35,0)</f>
        <v>7.754923898129845</v>
      </c>
      <c r="O35" s="203">
        <f ca="1">OFFSET(IND!R$25,$E35,0)</f>
        <v>7.1466354098810019</v>
      </c>
      <c r="P35" s="126">
        <f ca="1">OFFSET(IND!S$25,$E35,0)</f>
        <v>7.3021531763163576</v>
      </c>
      <c r="Q35" s="126">
        <f ca="1">OFFSET(IND!T$25,$E35,0)</f>
        <v>7.4348780686854239</v>
      </c>
      <c r="R35" s="126">
        <f ca="1">OFFSET(IND!U$25,$E35,0)</f>
        <v>7.5617466126288049</v>
      </c>
      <c r="S35" s="126">
        <f ca="1">OFFSET(IND!V$25,$E35,0)</f>
        <v>7.6849293488863433</v>
      </c>
      <c r="T35" s="203">
        <f ca="1">OFFSET(IND!W$25,$E35,0)</f>
        <v>7.8414645414943456</v>
      </c>
      <c r="U35" s="126">
        <f ca="1">OFFSET(IND!X$25,$E35,0)</f>
        <v>8.0682886109187102</v>
      </c>
      <c r="V35" s="126">
        <f ca="1">OFFSET(IND!Y$25,$E35,0)</f>
        <v>8.3124683529328536</v>
      </c>
      <c r="W35" s="126">
        <f ca="1">OFFSET(IND!Z$25,$E35,0)</f>
        <v>8.5742104308102149</v>
      </c>
      <c r="X35" s="126">
        <f ca="1">OFFSET(IND!AA$25,$E35,0)</f>
        <v>8.8109554900971485</v>
      </c>
      <c r="Y35" s="205">
        <f ca="1">OFFSET(IND!AB$25,$E35,0)</f>
        <v>9.0803946352881706</v>
      </c>
      <c r="Z35" s="126">
        <f ca="1">OFFSET(IND!AC$25,$E35,0)</f>
        <v>9.2986398655916975</v>
      </c>
      <c r="AA35" s="126">
        <f ca="1">OFFSET(IND!AD$25,$E35,0)</f>
        <v>9.5010197511391148</v>
      </c>
      <c r="AB35" s="126">
        <f ca="1">OFFSET(IND!AE$25,$E35,0)</f>
        <v>9.7165562640452556</v>
      </c>
      <c r="AC35" s="126">
        <f ca="1">OFFSET(IND!AF$25,$E35,0)</f>
        <v>9.9413798080281435</v>
      </c>
      <c r="AD35" s="126">
        <f ca="1">OFFSET(IND!AG$25,$E35,0)</f>
        <v>10.170459907921206</v>
      </c>
      <c r="AE35" s="126">
        <f ca="1">OFFSET(IND!AH$25,$E35,0)</f>
        <v>10.423531504762527</v>
      </c>
      <c r="AF35" s="126">
        <f ca="1">OFFSET(IND!AI$25,$E35,0)</f>
        <v>10.686664051936992</v>
      </c>
      <c r="AG35" s="126">
        <f ca="1">OFFSET(IND!AJ$25,$E35,0)</f>
        <v>10.950183558739653</v>
      </c>
      <c r="AH35" s="126">
        <f ca="1">OFFSET(IND!AK$25,$E35,0)</f>
        <v>11.223764015875457</v>
      </c>
      <c r="AI35" s="126">
        <f ca="1">OFFSET(IND!AL$25,$E35,0)</f>
        <v>11.516692454421145</v>
      </c>
      <c r="AJ35" s="126">
        <f ca="1">OFFSET(IND!AM$25,$E35,0)</f>
        <v>12.936447330278652</v>
      </c>
      <c r="AK35" s="126">
        <f ca="1">OFFSET(IND!AN$25,$E35,0)</f>
        <v>14.704465871514129</v>
      </c>
      <c r="AL35" s="126">
        <f ca="1">OFFSET(IND!AO$25,$E35,0)</f>
        <v>17.834195344377491</v>
      </c>
      <c r="AM35" s="126">
        <f ca="1">OFFSET(IND!AP$25,$E35,0)</f>
        <v>21.021968761470514</v>
      </c>
      <c r="AQ35" s="4"/>
    </row>
    <row r="36" spans="1:43">
      <c r="A36" s="35" t="s">
        <v>336</v>
      </c>
      <c r="B36">
        <v>2.3622746235790002</v>
      </c>
      <c r="E36" s="129">
        <f ca="1">MATCH(F36,IND!$D$26:$D$255,0)</f>
        <v>46</v>
      </c>
      <c r="F36" s="4" t="str">
        <f t="shared" si="0"/>
        <v>IMIK</v>
      </c>
      <c r="G36" s="126">
        <f ca="1">OFFSET(IND!J$25,$E36,0)</f>
        <v>2.1376388478991801</v>
      </c>
      <c r="H36" s="126">
        <f ca="1">OFFSET(IND!K$25,$E36,0)</f>
        <v>2.1940309602928449</v>
      </c>
      <c r="I36" s="126">
        <f ca="1">OFFSET(IND!L$25,$E36,0)</f>
        <v>2.1979720741160493</v>
      </c>
      <c r="J36" s="126">
        <f ca="1">OFFSET(IND!M$25,$E36,0)</f>
        <v>2.2014400000000003</v>
      </c>
      <c r="K36" s="126">
        <f ca="1">OFFSET(IND!N$25,$E36,0)</f>
        <v>2.2014400000000003</v>
      </c>
      <c r="L36" s="126">
        <f ca="1">OFFSET(IND!O$25,$E36,0)</f>
        <v>2.2014400000000003</v>
      </c>
      <c r="M36" s="126">
        <f ca="1">OFFSET(IND!P$25,$E36,0)</f>
        <v>2.1849293434310924</v>
      </c>
      <c r="N36" s="126">
        <f ca="1">OFFSET(IND!Q$25,$E36,0)</f>
        <v>2.1541455272582901</v>
      </c>
      <c r="O36" s="203">
        <f ca="1">OFFSET(IND!R$25,$E36,0)</f>
        <v>1.9851765027447228</v>
      </c>
      <c r="P36" s="126">
        <f ca="1">OFFSET(IND!S$25,$E36,0)</f>
        <v>2.0283758823100992</v>
      </c>
      <c r="Q36" s="126">
        <f ca="1">OFFSET(IND!T$25,$E36,0)</f>
        <v>2.0652439079681733</v>
      </c>
      <c r="R36" s="126">
        <f ca="1">OFFSET(IND!U$25,$E36,0)</f>
        <v>2.1004851701746681</v>
      </c>
      <c r="S36" s="126">
        <f ca="1">OFFSET(IND!V$25,$E36,0)</f>
        <v>2.1347025969128732</v>
      </c>
      <c r="T36" s="203">
        <f ca="1">OFFSET(IND!W$25,$E36,0)</f>
        <v>2.1781845948595406</v>
      </c>
      <c r="U36" s="126">
        <f ca="1">OFFSET(IND!X$25,$E36,0)</f>
        <v>2.241191280810753</v>
      </c>
      <c r="V36" s="126">
        <f ca="1">OFFSET(IND!Y$25,$E36,0)</f>
        <v>2.3090189869257927</v>
      </c>
      <c r="W36" s="126">
        <f ca="1">OFFSET(IND!Z$25,$E36,0)</f>
        <v>2.381725119669504</v>
      </c>
      <c r="X36" s="126">
        <f ca="1">OFFSET(IND!AA$25,$E36,0)</f>
        <v>2.4474876361380966</v>
      </c>
      <c r="Y36" s="205">
        <f ca="1">OFFSET(IND!AB$25,$E36,0)</f>
        <v>2.5223318431356025</v>
      </c>
      <c r="Z36" s="126">
        <f ca="1">OFFSET(IND!AC$25,$E36,0)</f>
        <v>2.5829555182199155</v>
      </c>
      <c r="AA36" s="126">
        <f ca="1">OFFSET(IND!AD$25,$E36,0)</f>
        <v>2.6391721530941981</v>
      </c>
      <c r="AB36" s="126">
        <f ca="1">OFFSET(IND!AE$25,$E36,0)</f>
        <v>2.699043406679237</v>
      </c>
      <c r="AC36" s="126">
        <f ca="1">OFFSET(IND!AF$25,$E36,0)</f>
        <v>2.7614943911189282</v>
      </c>
      <c r="AD36" s="126">
        <f ca="1">OFFSET(IND!AG$25,$E36,0)</f>
        <v>2.8251277522003346</v>
      </c>
      <c r="AE36" s="126">
        <f ca="1">OFFSET(IND!AH$25,$E36,0)</f>
        <v>2.8954254179895909</v>
      </c>
      <c r="AF36" s="126">
        <f ca="1">OFFSET(IND!AI$25,$E36,0)</f>
        <v>2.9685177922047199</v>
      </c>
      <c r="AG36" s="126">
        <f ca="1">OFFSET(IND!AJ$25,$E36,0)</f>
        <v>3.041717655205459</v>
      </c>
      <c r="AH36" s="126">
        <f ca="1">OFFSET(IND!AK$25,$E36,0)</f>
        <v>3.1177122266320714</v>
      </c>
      <c r="AI36" s="126">
        <f ca="1">OFFSET(IND!AL$25,$E36,0)</f>
        <v>3.1990812373392075</v>
      </c>
      <c r="AJ36" s="126">
        <f ca="1">OFFSET(IND!AM$25,$E36,0)</f>
        <v>3.5934575917440705</v>
      </c>
      <c r="AK36" s="126">
        <f ca="1">OFFSET(IND!AN$25,$E36,0)</f>
        <v>4.0845738531983695</v>
      </c>
      <c r="AL36" s="126">
        <f ca="1">OFFSET(IND!AO$25,$E36,0)</f>
        <v>4.9539431512159702</v>
      </c>
      <c r="AM36" s="126">
        <f ca="1">OFFSET(IND!AP$25,$E36,0)</f>
        <v>5.8394357670751429</v>
      </c>
      <c r="AQ36" s="4"/>
    </row>
    <row r="37" spans="1:43">
      <c r="A37" s="35" t="s">
        <v>337</v>
      </c>
      <c r="B37">
        <v>1.594535370916</v>
      </c>
      <c r="E37" s="129">
        <f ca="1">MATCH(F37,IND!$D$26:$D$255,0)</f>
        <v>48</v>
      </c>
      <c r="F37" s="4" t="str">
        <f t="shared" si="0"/>
        <v>IMIL</v>
      </c>
      <c r="G37" s="126">
        <f ca="1">OFFSET(IND!J$25,$E37,0)</f>
        <v>1.4429062223319464</v>
      </c>
      <c r="H37" s="126">
        <f ca="1">OFFSET(IND!K$25,$E37,0)</f>
        <v>1.4809708981976701</v>
      </c>
      <c r="I37" s="126">
        <f ca="1">OFFSET(IND!L$25,$E37,0)</f>
        <v>1.483631150028333</v>
      </c>
      <c r="J37" s="126">
        <f ca="1">OFFSET(IND!M$25,$E37,0)</f>
        <v>1.4859720000000001</v>
      </c>
      <c r="K37" s="126">
        <f ca="1">OFFSET(IND!N$25,$E37,0)</f>
        <v>1.4859720000000001</v>
      </c>
      <c r="L37" s="126">
        <f ca="1">OFFSET(IND!O$25,$E37,0)</f>
        <v>1.4859720000000001</v>
      </c>
      <c r="M37" s="126">
        <f ca="1">OFFSET(IND!P$25,$E37,0)</f>
        <v>1.4748273068159872</v>
      </c>
      <c r="N37" s="126">
        <f ca="1">OFFSET(IND!Q$25,$E37,0)</f>
        <v>1.4540482308993454</v>
      </c>
      <c r="O37" s="203">
        <f ca="1">OFFSET(IND!R$25,$E37,0)</f>
        <v>1.3399941393526875</v>
      </c>
      <c r="P37" s="126">
        <f ca="1">OFFSET(IND!S$25,$E37,0)</f>
        <v>1.3691537205593167</v>
      </c>
      <c r="Q37" s="126">
        <f ca="1">OFFSET(IND!T$25,$E37,0)</f>
        <v>1.3940396378785167</v>
      </c>
      <c r="R37" s="126">
        <f ca="1">OFFSET(IND!U$25,$E37,0)</f>
        <v>1.4178274898679006</v>
      </c>
      <c r="S37" s="126">
        <f ca="1">OFFSET(IND!V$25,$E37,0)</f>
        <v>1.440924252916189</v>
      </c>
      <c r="T37" s="203">
        <f ca="1">OFFSET(IND!W$25,$E37,0)</f>
        <v>1.4702746015301893</v>
      </c>
      <c r="U37" s="126">
        <f ca="1">OFFSET(IND!X$25,$E37,0)</f>
        <v>1.5128041145472575</v>
      </c>
      <c r="V37" s="126">
        <f ca="1">OFFSET(IND!Y$25,$E37,0)</f>
        <v>1.5585878161749094</v>
      </c>
      <c r="W37" s="126">
        <f ca="1">OFFSET(IND!Z$25,$E37,0)</f>
        <v>1.6076644557769144</v>
      </c>
      <c r="X37" s="126">
        <f ca="1">OFFSET(IND!AA$25,$E37,0)</f>
        <v>1.6520541543932143</v>
      </c>
      <c r="Y37" s="205">
        <f ca="1">OFFSET(IND!AB$25,$E37,0)</f>
        <v>1.7025739941165308</v>
      </c>
      <c r="Z37" s="126">
        <f ca="1">OFFSET(IND!AC$25,$E37,0)</f>
        <v>1.7434949747984421</v>
      </c>
      <c r="AA37" s="126">
        <f ca="1">OFFSET(IND!AD$25,$E37,0)</f>
        <v>1.7814412033385827</v>
      </c>
      <c r="AB37" s="126">
        <f ca="1">OFFSET(IND!AE$25,$E37,0)</f>
        <v>1.8218542995084841</v>
      </c>
      <c r="AC37" s="126">
        <f ca="1">OFFSET(IND!AF$25,$E37,0)</f>
        <v>1.8640087140052755</v>
      </c>
      <c r="AD37" s="126">
        <f ca="1">OFFSET(IND!AG$25,$E37,0)</f>
        <v>1.9069612327352246</v>
      </c>
      <c r="AE37" s="126">
        <f ca="1">OFFSET(IND!AH$25,$E37,0)</f>
        <v>1.9544121571429725</v>
      </c>
      <c r="AF37" s="126">
        <f ca="1">OFFSET(IND!AI$25,$E37,0)</f>
        <v>2.0037495097381846</v>
      </c>
      <c r="AG37" s="126">
        <f ca="1">OFFSET(IND!AJ$25,$E37,0)</f>
        <v>2.0531594172636836</v>
      </c>
      <c r="AH37" s="126">
        <f ca="1">OFFSET(IND!AK$25,$E37,0)</f>
        <v>2.1044557529766466</v>
      </c>
      <c r="AI37" s="126">
        <f ca="1">OFFSET(IND!AL$25,$E37,0)</f>
        <v>2.1593798352039633</v>
      </c>
      <c r="AJ37" s="126">
        <f ca="1">OFFSET(IND!AM$25,$E37,0)</f>
        <v>2.4255838744272453</v>
      </c>
      <c r="AK37" s="126">
        <f ca="1">OFFSET(IND!AN$25,$E37,0)</f>
        <v>2.7570873509088969</v>
      </c>
      <c r="AL37" s="126">
        <f ca="1">OFFSET(IND!AO$25,$E37,0)</f>
        <v>3.3439116270707769</v>
      </c>
      <c r="AM37" s="126">
        <f ca="1">OFFSET(IND!AP$25,$E37,0)</f>
        <v>3.9416191427757181</v>
      </c>
      <c r="AQ37" s="4"/>
    </row>
    <row r="38" spans="1:43">
      <c r="A38" s="35" t="s">
        <v>338</v>
      </c>
      <c r="B38">
        <v>31.93143244434</v>
      </c>
      <c r="E38" s="129">
        <f ca="1">MATCH(F38,IND!$D$26:$D$255,0)</f>
        <v>53</v>
      </c>
      <c r="F38" s="4" t="str">
        <f t="shared" si="0"/>
        <v>IMIO</v>
      </c>
      <c r="G38" s="126">
        <f ca="1">OFFSET(IND!J$25,$E38,0)</f>
        <v>28.894976807848312</v>
      </c>
      <c r="H38" s="126">
        <f ca="1">OFFSET(IND!K$25,$E38,0)</f>
        <v>29.657242511132058</v>
      </c>
      <c r="I38" s="126">
        <f ca="1">OFFSET(IND!L$25,$E38,0)</f>
        <v>29.710515491565818</v>
      </c>
      <c r="J38" s="126">
        <f ca="1">OFFSET(IND!M$25,$E38,0)</f>
        <v>29.757392277177463</v>
      </c>
      <c r="K38" s="126">
        <f ca="1">OFFSET(IND!N$25,$E38,0)</f>
        <v>29.757392277177463</v>
      </c>
      <c r="L38" s="126">
        <f ca="1">OFFSET(IND!O$25,$E38,0)</f>
        <v>29.757392277177463</v>
      </c>
      <c r="M38" s="126">
        <f ca="1">OFFSET(IND!P$25,$E38,0)</f>
        <v>29.534213773891089</v>
      </c>
      <c r="N38" s="126">
        <f ca="1">OFFSET(IND!Q$25,$E38,0)</f>
        <v>29.1181015502363</v>
      </c>
      <c r="O38" s="203">
        <f ca="1">OFFSET(IND!R$25,$E38,0)</f>
        <v>26.834106735414075</v>
      </c>
      <c r="P38" s="126">
        <f ca="1">OFFSET(IND!S$25,$E38,0)</f>
        <v>27.41804310608854</v>
      </c>
      <c r="Q38" s="126">
        <f ca="1">OFFSET(IND!T$25,$E38,0)</f>
        <v>27.916397048050325</v>
      </c>
      <c r="R38" s="126">
        <f ca="1">OFFSET(IND!U$25,$E38,0)</f>
        <v>28.392761638419142</v>
      </c>
      <c r="S38" s="126">
        <f ca="1">OFFSET(IND!V$25,$E38,0)</f>
        <v>28.855286799297634</v>
      </c>
      <c r="T38" s="203">
        <f ca="1">OFFSET(IND!W$25,$E38,0)</f>
        <v>29.44304339039001</v>
      </c>
      <c r="U38" s="126">
        <f ca="1">OFFSET(IND!X$25,$E38,0)</f>
        <v>30.294719870300952</v>
      </c>
      <c r="V38" s="126">
        <f ca="1">OFFSET(IND!Y$25,$E38,0)</f>
        <v>31.211563235610178</v>
      </c>
      <c r="W38" s="126">
        <f ca="1">OFFSET(IND!Z$25,$E38,0)</f>
        <v>32.194349463266235</v>
      </c>
      <c r="X38" s="126">
        <f ca="1">OFFSET(IND!AA$25,$E38,0)</f>
        <v>33.083277164993405</v>
      </c>
      <c r="Y38" s="205">
        <f ca="1">OFFSET(IND!AB$25,$E38,0)</f>
        <v>34.094964254943193</v>
      </c>
      <c r="Z38" s="126">
        <f ca="1">OFFSET(IND!AC$25,$E38,0)</f>
        <v>34.914429005637309</v>
      </c>
      <c r="AA38" s="126">
        <f ca="1">OFFSET(IND!AD$25,$E38,0)</f>
        <v>35.67432273722067</v>
      </c>
      <c r="AB38" s="126">
        <f ca="1">OFFSET(IND!AE$25,$E38,0)</f>
        <v>36.48361682611538</v>
      </c>
      <c r="AC38" s="126">
        <f ca="1">OFFSET(IND!AF$25,$E38,0)</f>
        <v>37.327781755465168</v>
      </c>
      <c r="AD38" s="126">
        <f ca="1">OFFSET(IND!AG$25,$E38,0)</f>
        <v>38.187929153356855</v>
      </c>
      <c r="AE38" s="126">
        <f ca="1">OFFSET(IND!AH$25,$E38,0)</f>
        <v>39.138159555757468</v>
      </c>
      <c r="AF38" s="126">
        <f ca="1">OFFSET(IND!AI$25,$E38,0)</f>
        <v>40.12616670198441</v>
      </c>
      <c r="AG38" s="126">
        <f ca="1">OFFSET(IND!AJ$25,$E38,0)</f>
        <v>41.11562679989698</v>
      </c>
      <c r="AH38" s="126">
        <f ca="1">OFFSET(IND!AK$25,$E38,0)</f>
        <v>42.142863641635877</v>
      </c>
      <c r="AI38" s="126">
        <f ca="1">OFFSET(IND!AL$25,$E38,0)</f>
        <v>43.242748067656159</v>
      </c>
      <c r="AJ38" s="126">
        <f ca="1">OFFSET(IND!AM$25,$E38,0)</f>
        <v>48.573627802224742</v>
      </c>
      <c r="AK38" s="126">
        <f ca="1">OFFSET(IND!AN$25,$E38,0)</f>
        <v>55.212164053858409</v>
      </c>
      <c r="AL38" s="126">
        <f ca="1">OFFSET(IND!AO$25,$E38,0)</f>
        <v>66.963637287216628</v>
      </c>
      <c r="AM38" s="126">
        <f ca="1">OFFSET(IND!AP$25,$E38,0)</f>
        <v>78.93305327341902</v>
      </c>
      <c r="AQ38" s="4"/>
    </row>
    <row r="39" spans="1:43">
      <c r="A39" s="35" t="s">
        <v>339</v>
      </c>
      <c r="B39">
        <v>16.901755910559999</v>
      </c>
      <c r="E39" s="129">
        <f ca="1">MATCH(F39,IND!$D$26:$D$255,0)</f>
        <v>51</v>
      </c>
      <c r="F39" s="4" t="str">
        <f t="shared" si="0"/>
        <v>IMIP</v>
      </c>
      <c r="G39" s="126">
        <f ca="1">OFFSET(IND!J$25,$E39,0)</f>
        <v>15.294517272248457</v>
      </c>
      <c r="H39" s="126">
        <f ca="1">OFFSET(IND!K$25,$E39,0)</f>
        <v>15.697995220766805</v>
      </c>
      <c r="I39" s="126">
        <f ca="1">OFFSET(IND!L$25,$E39,0)</f>
        <v>15.726193357931152</v>
      </c>
      <c r="J39" s="126">
        <f ca="1">OFFSET(IND!M$25,$E39,0)</f>
        <v>15.751005899293361</v>
      </c>
      <c r="K39" s="126">
        <f ca="1">OFFSET(IND!N$25,$E39,0)</f>
        <v>15.751005899293361</v>
      </c>
      <c r="L39" s="126">
        <f ca="1">OFFSET(IND!O$25,$E39,0)</f>
        <v>15.751005899293361</v>
      </c>
      <c r="M39" s="126">
        <f ca="1">OFFSET(IND!P$25,$E39,0)</f>
        <v>15.632874381278754</v>
      </c>
      <c r="N39" s="126">
        <f ca="1">OFFSET(IND!Q$25,$E39,0)</f>
        <v>15.412620333864073</v>
      </c>
      <c r="O39" s="203">
        <f ca="1">OFFSET(IND!R$25,$E39,0)</f>
        <v>14.203669782447253</v>
      </c>
      <c r="P39" s="126">
        <f ca="1">OFFSET(IND!S$25,$E39,0)</f>
        <v>14.512755509235202</v>
      </c>
      <c r="Q39" s="126">
        <f ca="1">OFFSET(IND!T$25,$E39,0)</f>
        <v>14.776541253854916</v>
      </c>
      <c r="R39" s="126">
        <f ca="1">OFFSET(IND!U$25,$E39,0)</f>
        <v>15.028687725670201</v>
      </c>
      <c r="S39" s="126">
        <f ca="1">OFFSET(IND!V$25,$E39,0)</f>
        <v>15.273508792977102</v>
      </c>
      <c r="T39" s="203">
        <f ca="1">OFFSET(IND!W$25,$E39,0)</f>
        <v>15.584616616116055</v>
      </c>
      <c r="U39" s="126">
        <f ca="1">OFFSET(IND!X$25,$E39,0)</f>
        <v>16.035420945151806</v>
      </c>
      <c r="V39" s="126">
        <f ca="1">OFFSET(IND!Y$25,$E39,0)</f>
        <v>16.520719022389219</v>
      </c>
      <c r="W39" s="126">
        <f ca="1">OFFSET(IND!Z$25,$E39,0)</f>
        <v>17.040921583331603</v>
      </c>
      <c r="X39" s="126">
        <f ca="1">OFFSET(IND!AA$25,$E39,0)</f>
        <v>17.511443507549014</v>
      </c>
      <c r="Y39" s="205">
        <f ca="1">OFFSET(IND!AB$25,$E39,0)</f>
        <v>18.046943701034028</v>
      </c>
      <c r="Z39" s="126">
        <f ca="1">OFFSET(IND!AC$25,$E39,0)</f>
        <v>18.480697909138659</v>
      </c>
      <c r="AA39" s="126">
        <f ca="1">OFFSET(IND!AD$25,$E39,0)</f>
        <v>18.882920339703762</v>
      </c>
      <c r="AB39" s="126">
        <f ca="1">OFFSET(IND!AE$25,$E39,0)</f>
        <v>19.311291073594326</v>
      </c>
      <c r="AC39" s="126">
        <f ca="1">OFFSET(IND!AF$25,$E39,0)</f>
        <v>19.758119433361685</v>
      </c>
      <c r="AD39" s="126">
        <f ca="1">OFFSET(IND!AG$25,$E39,0)</f>
        <v>20.213407538322571</v>
      </c>
      <c r="AE39" s="126">
        <f ca="1">OFFSET(IND!AH$25,$E39,0)</f>
        <v>20.716377843465171</v>
      </c>
      <c r="AF39" s="126">
        <f ca="1">OFFSET(IND!AI$25,$E39,0)</f>
        <v>21.239343909974298</v>
      </c>
      <c r="AG39" s="126">
        <f ca="1">OFFSET(IND!AJ$25,$E39,0)</f>
        <v>21.763079044228292</v>
      </c>
      <c r="AH39" s="126">
        <f ca="1">OFFSET(IND!AK$25,$E39,0)</f>
        <v>22.306809939848812</v>
      </c>
      <c r="AI39" s="126">
        <f ca="1">OFFSET(IND!AL$25,$E39,0)</f>
        <v>22.888994222712647</v>
      </c>
      <c r="AJ39" s="126">
        <f ca="1">OFFSET(IND!AM$25,$E39,0)</f>
        <v>25.710703778627323</v>
      </c>
      <c r="AK39" s="126">
        <f ca="1">OFFSET(IND!AN$25,$E39,0)</f>
        <v>29.224574304921731</v>
      </c>
      <c r="AL39" s="126">
        <f ca="1">OFFSET(IND!AO$25,$E39,0)</f>
        <v>35.44479422540094</v>
      </c>
      <c r="AM39" s="126">
        <f ca="1">OFFSET(IND!AP$25,$E39,0)</f>
        <v>41.780374307610103</v>
      </c>
      <c r="AQ39" s="4"/>
    </row>
    <row r="40" spans="1:43">
      <c r="A40" s="35" t="s">
        <v>340</v>
      </c>
      <c r="B40">
        <v>28.149155918999998</v>
      </c>
      <c r="E40" s="129">
        <f ca="1">MATCH(F40,IND!$D$26:$D$255,0)</f>
        <v>63</v>
      </c>
      <c r="F40" s="4" t="str">
        <f t="shared" si="0"/>
        <v>IMIR</v>
      </c>
      <c r="G40" s="126">
        <f ca="1">OFFSET(IND!J$25,$E40,0)</f>
        <v>51.488523217763458</v>
      </c>
      <c r="H40" s="126">
        <f ca="1">OFFSET(IND!K$25,$E40,0)</f>
        <v>52.846819354238278</v>
      </c>
      <c r="I40" s="126">
        <f ca="1">OFFSET(IND!L$25,$E40,0)</f>
        <v>52.941747517987423</v>
      </c>
      <c r="J40" s="126">
        <f ca="1">OFFSET(IND!M$25,$E40,0)</f>
        <v>46.045999999999999</v>
      </c>
      <c r="K40" s="126">
        <f ca="1">OFFSET(IND!N$25,$E40,0)</f>
        <v>46.045999999999999</v>
      </c>
      <c r="L40" s="126">
        <f ca="1">OFFSET(IND!O$25,$E40,0)</f>
        <v>46.045999999999999</v>
      </c>
      <c r="M40" s="126">
        <f ca="1">OFFSET(IND!P$25,$E40,0)</f>
        <v>45.700658000049089</v>
      </c>
      <c r="N40" s="126">
        <f ca="1">OFFSET(IND!Q$25,$E40,0)</f>
        <v>45.056774178780799</v>
      </c>
      <c r="O40" s="203">
        <f ca="1">OFFSET(IND!R$25,$E40,0)</f>
        <v>41.52256579574437</v>
      </c>
      <c r="P40" s="126">
        <f ca="1">OFFSET(IND!S$25,$E40,0)</f>
        <v>42.426137381373472</v>
      </c>
      <c r="Q40" s="126">
        <f ca="1">OFFSET(IND!T$25,$E40,0)</f>
        <v>43.197280410232615</v>
      </c>
      <c r="R40" s="126">
        <f ca="1">OFFSET(IND!U$25,$E40,0)</f>
        <v>43.934397551540236</v>
      </c>
      <c r="S40" s="126">
        <f ca="1">OFFSET(IND!V$25,$E40,0)</f>
        <v>44.650099833495403</v>
      </c>
      <c r="T40" s="203">
        <f ca="1">OFFSET(IND!W$25,$E40,0)</f>
        <v>45.559582752608456</v>
      </c>
      <c r="U40" s="126">
        <f ca="1">OFFSET(IND!X$25,$E40,0)</f>
        <v>46.877450085494893</v>
      </c>
      <c r="V40" s="126">
        <f ca="1">OFFSET(IND!Y$25,$E40,0)</f>
        <v>48.296155367389069</v>
      </c>
      <c r="W40" s="126">
        <f ca="1">OFFSET(IND!Z$25,$E40,0)</f>
        <v>49.81689932966691</v>
      </c>
      <c r="X40" s="126">
        <f ca="1">OFFSET(IND!AA$25,$E40,0)</f>
        <v>51.192408466101611</v>
      </c>
      <c r="Y40" s="205">
        <f ca="1">OFFSET(IND!AB$25,$E40,0)</f>
        <v>52.757873050831222</v>
      </c>
      <c r="Z40" s="126">
        <f ca="1">OFFSET(IND!AC$25,$E40,0)</f>
        <v>54.025896591301219</v>
      </c>
      <c r="AA40" s="126">
        <f ca="1">OFFSET(IND!AD$25,$E40,0)</f>
        <v>55.201741115531362</v>
      </c>
      <c r="AB40" s="126">
        <f ca="1">OFFSET(IND!AE$25,$E40,0)</f>
        <v>56.454026775179912</v>
      </c>
      <c r="AC40" s="126">
        <f ca="1">OFFSET(IND!AF$25,$E40,0)</f>
        <v>57.760270883359112</v>
      </c>
      <c r="AD40" s="126">
        <f ca="1">OFFSET(IND!AG$25,$E40,0)</f>
        <v>59.091245947114849</v>
      </c>
      <c r="AE40" s="126">
        <f ca="1">OFFSET(IND!AH$25,$E40,0)</f>
        <v>60.561613669574733</v>
      </c>
      <c r="AF40" s="126">
        <f ca="1">OFFSET(IND!AI$25,$E40,0)</f>
        <v>62.090436377942815</v>
      </c>
      <c r="AG40" s="126">
        <f ca="1">OFFSET(IND!AJ$25,$E40,0)</f>
        <v>63.621507354999665</v>
      </c>
      <c r="AH40" s="126">
        <f ca="1">OFFSET(IND!AK$25,$E40,0)</f>
        <v>65.21103331796472</v>
      </c>
      <c r="AI40" s="126">
        <f ca="1">OFFSET(IND!AL$25,$E40,0)</f>
        <v>66.912972715368596</v>
      </c>
      <c r="AJ40" s="126">
        <f ca="1">OFFSET(IND!AM$25,$E40,0)</f>
        <v>75.16187053448985</v>
      </c>
      <c r="AK40" s="126">
        <f ca="1">OFFSET(IND!AN$25,$E40,0)</f>
        <v>85.434210173510053</v>
      </c>
      <c r="AL40" s="126">
        <f ca="1">OFFSET(IND!AO$25,$E40,0)</f>
        <v>103.61820732833526</v>
      </c>
      <c r="AM40" s="126">
        <f ca="1">OFFSET(IND!AP$25,$E40,0)</f>
        <v>122.13944478647694</v>
      </c>
      <c r="AQ40" s="4"/>
    </row>
    <row r="41" spans="1:43">
      <c r="A41" s="35" t="s">
        <v>341</v>
      </c>
      <c r="B41">
        <v>5.2585839407999997E-2</v>
      </c>
      <c r="E41" s="129">
        <f ca="1">MATCH(F41,IND!$D$26:$D$255,0)</f>
        <v>56</v>
      </c>
      <c r="F41" s="4" t="str">
        <f t="shared" si="0"/>
        <v>IMIS</v>
      </c>
      <c r="G41" s="126">
        <f ca="1">OFFSET(IND!J$25,$E41,0)</f>
        <v>20.275122960000004</v>
      </c>
      <c r="H41" s="126">
        <f ca="1">OFFSET(IND!K$25,$E41,0)</f>
        <v>20.809992081544721</v>
      </c>
      <c r="I41" s="126">
        <f ca="1">OFFSET(IND!L$25,$E41,0)</f>
        <v>20.847372842772632</v>
      </c>
      <c r="J41" s="126">
        <f ca="1">OFFSET(IND!M$25,$E41,0)</f>
        <v>0.90805719120000006</v>
      </c>
      <c r="K41" s="126">
        <f ca="1">OFFSET(IND!N$25,$E41,0)</f>
        <v>0.90805719120000006</v>
      </c>
      <c r="L41" s="126">
        <f ca="1">OFFSET(IND!O$25,$E41,0)</f>
        <v>0.90805719120000006</v>
      </c>
      <c r="M41" s="126">
        <f ca="1">OFFSET(IND!P$25,$E41,0)</f>
        <v>0.90124682142892731</v>
      </c>
      <c r="N41" s="126">
        <f ca="1">OFFSET(IND!Q$25,$E41,0)</f>
        <v>0.8885490119731656</v>
      </c>
      <c r="O41" s="203">
        <f ca="1">OFFSET(IND!R$25,$E41,0)</f>
        <v>0.81885211457891727</v>
      </c>
      <c r="P41" s="126">
        <f ca="1">OFFSET(IND!S$25,$E41,0)</f>
        <v>0.83667113634181722</v>
      </c>
      <c r="Q41" s="126">
        <f ca="1">OFFSET(IND!T$25,$E41,0)</f>
        <v>0.8518785804802721</v>
      </c>
      <c r="R41" s="126">
        <f ca="1">OFFSET(IND!U$25,$E41,0)</f>
        <v>0.86641501189496983</v>
      </c>
      <c r="S41" s="126">
        <f ca="1">OFFSET(IND!V$25,$E41,0)</f>
        <v>0.88052912829786345</v>
      </c>
      <c r="T41" s="203">
        <f ca="1">OFFSET(IND!W$25,$E41,0)</f>
        <v>0.89846472541757361</v>
      </c>
      <c r="U41" s="126">
        <f ca="1">OFFSET(IND!X$25,$E41,0)</f>
        <v>0.924453929879961</v>
      </c>
      <c r="V41" s="126">
        <f ca="1">OFFSET(IND!Y$25,$E41,0)</f>
        <v>0.95243172455088643</v>
      </c>
      <c r="W41" s="126">
        <f ca="1">OFFSET(IND!Z$25,$E41,0)</f>
        <v>0.98242178863724305</v>
      </c>
      <c r="X41" s="126">
        <f ca="1">OFFSET(IND!AA$25,$E41,0)</f>
        <v>1.0095477271096585</v>
      </c>
      <c r="Y41" s="205">
        <f ca="1">OFFSET(IND!AB$25,$E41,0)</f>
        <v>1.0404197110764015</v>
      </c>
      <c r="Z41" s="126">
        <f ca="1">OFFSET(IND!AC$25,$E41,0)</f>
        <v>1.0654259634009176</v>
      </c>
      <c r="AA41" s="126">
        <f ca="1">OFFSET(IND!AD$25,$E41,0)</f>
        <v>1.088614385325956</v>
      </c>
      <c r="AB41" s="126">
        <f ca="1">OFFSET(IND!AE$25,$E41,0)</f>
        <v>1.1133102763627563</v>
      </c>
      <c r="AC41" s="126">
        <f ca="1">OFFSET(IND!AF$25,$E41,0)</f>
        <v>1.1390702632431531</v>
      </c>
      <c r="AD41" s="126">
        <f ca="1">OFFSET(IND!AG$25,$E41,0)</f>
        <v>1.1653179607185316</v>
      </c>
      <c r="AE41" s="126">
        <f ca="1">OFFSET(IND!AH$25,$E41,0)</f>
        <v>1.1943145724565341</v>
      </c>
      <c r="AF41" s="126">
        <f ca="1">OFFSET(IND!AI$25,$E41,0)</f>
        <v>1.2244639546917662</v>
      </c>
      <c r="AG41" s="126">
        <f ca="1">OFFSET(IND!AJ$25,$E41,0)</f>
        <v>1.2546576742538147</v>
      </c>
      <c r="AH41" s="126">
        <f ca="1">OFFSET(IND!AK$25,$E41,0)</f>
        <v>1.2860041643130928</v>
      </c>
      <c r="AI41" s="126">
        <f ca="1">OFFSET(IND!AL$25,$E41,0)</f>
        <v>1.3195675207131967</v>
      </c>
      <c r="AJ41" s="126">
        <f ca="1">OFFSET(IND!AM$25,$E41,0)</f>
        <v>1.4822411728029994</v>
      </c>
      <c r="AK41" s="126">
        <f ca="1">OFFSET(IND!AN$25,$E41,0)</f>
        <v>1.6848184190276685</v>
      </c>
      <c r="AL41" s="126">
        <f ca="1">OFFSET(IND!AO$25,$E41,0)</f>
        <v>2.0434187183196673</v>
      </c>
      <c r="AM41" s="126">
        <f ca="1">OFFSET(IND!AP$25,$E41,0)</f>
        <v>2.4086696166341435</v>
      </c>
      <c r="AQ41" s="4"/>
    </row>
    <row r="42" spans="1:43">
      <c r="A42" s="35" t="s">
        <v>342</v>
      </c>
      <c r="B42" t="s">
        <v>386</v>
      </c>
      <c r="E42" s="129">
        <f ca="1">MATCH(F42,IND!$D$26:$D$255,0)</f>
        <v>131</v>
      </c>
      <c r="F42" s="4" t="str">
        <f t="shared" si="0"/>
        <v>INFA</v>
      </c>
      <c r="G42" s="126">
        <f ca="1">OFFSET(IND!J$25,$E42,0)</f>
        <v>0</v>
      </c>
      <c r="H42" s="126">
        <f ca="1">OFFSET(IND!K$25,$E42,0)</f>
        <v>0</v>
      </c>
      <c r="I42" s="126">
        <f ca="1">OFFSET(IND!L$25,$E42,0)</f>
        <v>0</v>
      </c>
      <c r="J42" s="126">
        <f ca="1">OFFSET(IND!M$25,$E42,0)</f>
        <v>0</v>
      </c>
      <c r="K42" s="126">
        <f ca="1">OFFSET(IND!N$25,$E42,0)</f>
        <v>0</v>
      </c>
      <c r="L42" s="126">
        <f ca="1">OFFSET(IND!O$25,$E42,0)</f>
        <v>0</v>
      </c>
      <c r="M42" s="126">
        <f ca="1">OFFSET(IND!P$25,$E42,0)</f>
        <v>0</v>
      </c>
      <c r="N42" s="126">
        <f ca="1">OFFSET(IND!Q$25,$E42,0)</f>
        <v>0</v>
      </c>
      <c r="O42" s="203">
        <f ca="1">OFFSET(IND!R$25,$E42,0)</f>
        <v>0</v>
      </c>
      <c r="P42" s="126">
        <f ca="1">OFFSET(IND!S$25,$E42,0)</f>
        <v>0</v>
      </c>
      <c r="Q42" s="126">
        <f ca="1">OFFSET(IND!T$25,$E42,0)</f>
        <v>0</v>
      </c>
      <c r="R42" s="126">
        <f ca="1">OFFSET(IND!U$25,$E42,0)</f>
        <v>0</v>
      </c>
      <c r="S42" s="126">
        <f ca="1">OFFSET(IND!V$25,$E42,0)</f>
        <v>0</v>
      </c>
      <c r="T42" s="203">
        <f ca="1">OFFSET(IND!W$25,$E42,0)</f>
        <v>0</v>
      </c>
      <c r="U42" s="126">
        <f ca="1">OFFSET(IND!X$25,$E42,0)</f>
        <v>0</v>
      </c>
      <c r="V42" s="126">
        <f ca="1">OFFSET(IND!Y$25,$E42,0)</f>
        <v>0</v>
      </c>
      <c r="W42" s="126">
        <f ca="1">OFFSET(IND!Z$25,$E42,0)</f>
        <v>0</v>
      </c>
      <c r="X42" s="126">
        <f ca="1">OFFSET(IND!AA$25,$E42,0)</f>
        <v>0</v>
      </c>
      <c r="Y42" s="205">
        <f ca="1">OFFSET(IND!AB$25,$E42,0)</f>
        <v>0</v>
      </c>
      <c r="Z42" s="126">
        <f ca="1">OFFSET(IND!AC$25,$E42,0)</f>
        <v>0</v>
      </c>
      <c r="AA42" s="126">
        <f ca="1">OFFSET(IND!AD$25,$E42,0)</f>
        <v>0</v>
      </c>
      <c r="AB42" s="126">
        <f ca="1">OFFSET(IND!AE$25,$E42,0)</f>
        <v>0</v>
      </c>
      <c r="AC42" s="126">
        <f ca="1">OFFSET(IND!AF$25,$E42,0)</f>
        <v>0</v>
      </c>
      <c r="AD42" s="126">
        <f ca="1">OFFSET(IND!AG$25,$E42,0)</f>
        <v>0</v>
      </c>
      <c r="AE42" s="126">
        <f ca="1">OFFSET(IND!AH$25,$E42,0)</f>
        <v>0</v>
      </c>
      <c r="AF42" s="126">
        <f ca="1">OFFSET(IND!AI$25,$E42,0)</f>
        <v>0</v>
      </c>
      <c r="AG42" s="126">
        <f ca="1">OFFSET(IND!AJ$25,$E42,0)</f>
        <v>0</v>
      </c>
      <c r="AH42" s="126">
        <f ca="1">OFFSET(IND!AK$25,$E42,0)</f>
        <v>0</v>
      </c>
      <c r="AI42" s="126">
        <f ca="1">OFFSET(IND!AL$25,$E42,0)</f>
        <v>0</v>
      </c>
      <c r="AJ42" s="126">
        <f ca="1">OFFSET(IND!AM$25,$E42,0)</f>
        <v>0</v>
      </c>
      <c r="AK42" s="126">
        <f ca="1">OFFSET(IND!AN$25,$E42,0)</f>
        <v>0</v>
      </c>
      <c r="AL42" s="126">
        <f ca="1">OFFSET(IND!AO$25,$E42,0)</f>
        <v>0</v>
      </c>
      <c r="AM42" s="126">
        <f ca="1">OFFSET(IND!AP$25,$E42,0)</f>
        <v>0</v>
      </c>
      <c r="AQ42" s="4"/>
    </row>
    <row r="43" spans="1:43">
      <c r="A43" s="35" t="s">
        <v>343</v>
      </c>
      <c r="B43" t="s">
        <v>386</v>
      </c>
      <c r="E43" s="129">
        <f ca="1">MATCH(F43,IND!$D$26:$D$255,0)</f>
        <v>133</v>
      </c>
      <c r="F43" s="4" t="str">
        <f t="shared" si="0"/>
        <v>INFC</v>
      </c>
      <c r="G43" s="126">
        <f ca="1">OFFSET(IND!J$25,$E43,0)</f>
        <v>0</v>
      </c>
      <c r="H43" s="126">
        <f ca="1">OFFSET(IND!K$25,$E43,0)</f>
        <v>0</v>
      </c>
      <c r="I43" s="126">
        <f ca="1">OFFSET(IND!L$25,$E43,0)</f>
        <v>0</v>
      </c>
      <c r="J43" s="126">
        <f ca="1">OFFSET(IND!M$25,$E43,0)</f>
        <v>0</v>
      </c>
      <c r="K43" s="126">
        <f ca="1">OFFSET(IND!N$25,$E43,0)</f>
        <v>0</v>
      </c>
      <c r="L43" s="126">
        <f ca="1">OFFSET(IND!O$25,$E43,0)</f>
        <v>0</v>
      </c>
      <c r="M43" s="126">
        <f ca="1">OFFSET(IND!P$25,$E43,0)</f>
        <v>0</v>
      </c>
      <c r="N43" s="126">
        <f ca="1">OFFSET(IND!Q$25,$E43,0)</f>
        <v>0</v>
      </c>
      <c r="O43" s="203">
        <f ca="1">OFFSET(IND!R$25,$E43,0)</f>
        <v>0</v>
      </c>
      <c r="P43" s="126">
        <f ca="1">OFFSET(IND!S$25,$E43,0)</f>
        <v>0</v>
      </c>
      <c r="Q43" s="126">
        <f ca="1">OFFSET(IND!T$25,$E43,0)</f>
        <v>0</v>
      </c>
      <c r="R43" s="126">
        <f ca="1">OFFSET(IND!U$25,$E43,0)</f>
        <v>0</v>
      </c>
      <c r="S43" s="126">
        <f ca="1">OFFSET(IND!V$25,$E43,0)</f>
        <v>0</v>
      </c>
      <c r="T43" s="203">
        <f ca="1">OFFSET(IND!W$25,$E43,0)</f>
        <v>0</v>
      </c>
      <c r="U43" s="126">
        <f ca="1">OFFSET(IND!X$25,$E43,0)</f>
        <v>0</v>
      </c>
      <c r="V43" s="126">
        <f ca="1">OFFSET(IND!Y$25,$E43,0)</f>
        <v>0</v>
      </c>
      <c r="W43" s="126">
        <f ca="1">OFFSET(IND!Z$25,$E43,0)</f>
        <v>0</v>
      </c>
      <c r="X43" s="126">
        <f ca="1">OFFSET(IND!AA$25,$E43,0)</f>
        <v>0</v>
      </c>
      <c r="Y43" s="205">
        <f ca="1">OFFSET(IND!AB$25,$E43,0)</f>
        <v>0</v>
      </c>
      <c r="Z43" s="126">
        <f ca="1">OFFSET(IND!AC$25,$E43,0)</f>
        <v>0</v>
      </c>
      <c r="AA43" s="126">
        <f ca="1">OFFSET(IND!AD$25,$E43,0)</f>
        <v>0</v>
      </c>
      <c r="AB43" s="126">
        <f ca="1">OFFSET(IND!AE$25,$E43,0)</f>
        <v>0</v>
      </c>
      <c r="AC43" s="126">
        <f ca="1">OFFSET(IND!AF$25,$E43,0)</f>
        <v>0</v>
      </c>
      <c r="AD43" s="126">
        <f ca="1">OFFSET(IND!AG$25,$E43,0)</f>
        <v>0</v>
      </c>
      <c r="AE43" s="126">
        <f ca="1">OFFSET(IND!AH$25,$E43,0)</f>
        <v>0</v>
      </c>
      <c r="AF43" s="126">
        <f ca="1">OFFSET(IND!AI$25,$E43,0)</f>
        <v>0</v>
      </c>
      <c r="AG43" s="126">
        <f ca="1">OFFSET(IND!AJ$25,$E43,0)</f>
        <v>0</v>
      </c>
      <c r="AH43" s="126">
        <f ca="1">OFFSET(IND!AK$25,$E43,0)</f>
        <v>0</v>
      </c>
      <c r="AI43" s="126">
        <f ca="1">OFFSET(IND!AL$25,$E43,0)</f>
        <v>0</v>
      </c>
      <c r="AJ43" s="126">
        <f ca="1">OFFSET(IND!AM$25,$E43,0)</f>
        <v>0</v>
      </c>
      <c r="AK43" s="126">
        <f ca="1">OFFSET(IND!AN$25,$E43,0)</f>
        <v>0</v>
      </c>
      <c r="AL43" s="126">
        <f ca="1">OFFSET(IND!AO$25,$E43,0)</f>
        <v>0</v>
      </c>
      <c r="AM43" s="126">
        <f ca="1">OFFSET(IND!AP$25,$E43,0)</f>
        <v>0</v>
      </c>
      <c r="AQ43" s="4"/>
    </row>
    <row r="44" spans="1:43">
      <c r="A44" s="35" t="s">
        <v>344</v>
      </c>
      <c r="B44">
        <v>55.015944485879999</v>
      </c>
      <c r="E44" s="129">
        <f ca="1">MATCH(F44,IND!$D$26:$D$255,0)</f>
        <v>138</v>
      </c>
      <c r="F44" s="4" t="str">
        <f t="shared" si="0"/>
        <v>INFE</v>
      </c>
      <c r="G44" s="126">
        <f ca="1">OFFSET(IND!J$25,$E44,0)</f>
        <v>45.684078335879221</v>
      </c>
      <c r="H44" s="126">
        <f ca="1">OFFSET(IND!K$25,$E44,0)</f>
        <v>38.092658790451225</v>
      </c>
      <c r="I44" s="126">
        <f ca="1">OFFSET(IND!L$25,$E44,0)</f>
        <v>32.805777321313869</v>
      </c>
      <c r="J44" s="126">
        <f ca="1">OFFSET(IND!M$25,$E44,0)</f>
        <v>11.427588</v>
      </c>
      <c r="K44" s="126">
        <f ca="1">OFFSET(IND!N$25,$E44,0)</f>
        <v>11.427588</v>
      </c>
      <c r="L44" s="126">
        <f ca="1">OFFSET(IND!O$25,$E44,0)</f>
        <v>11.427588</v>
      </c>
      <c r="M44" s="126">
        <f ca="1">OFFSET(IND!P$25,$E44,0)</f>
        <v>11.197502335570471</v>
      </c>
      <c r="N44" s="126">
        <f ca="1">OFFSET(IND!Q$25,$E44,0)</f>
        <v>10.583940563758391</v>
      </c>
      <c r="O44" s="203">
        <f ca="1">OFFSET(IND!R$25,$E44,0)</f>
        <v>8.6857338322147672</v>
      </c>
      <c r="P44" s="126">
        <f ca="1">OFFSET(IND!S$25,$E44,0)</f>
        <v>8.9925147181208072</v>
      </c>
      <c r="Q44" s="126">
        <f ca="1">OFFSET(IND!T$25,$E44,0)</f>
        <v>9.0308623288590617</v>
      </c>
      <c r="R44" s="126">
        <f ca="1">OFFSET(IND!U$25,$E44,0)</f>
        <v>9.0883837449664444</v>
      </c>
      <c r="S44" s="126">
        <f ca="1">OFFSET(IND!V$25,$E44,0)</f>
        <v>9.1459051610738253</v>
      </c>
      <c r="T44" s="203">
        <f ca="1">OFFSET(IND!W$25,$E44,0)</f>
        <v>9.2801217986577189</v>
      </c>
      <c r="U44" s="126">
        <f ca="1">OFFSET(IND!X$25,$E44,0)</f>
        <v>9.606076489932887</v>
      </c>
      <c r="V44" s="126">
        <f ca="1">OFFSET(IND!Y$25,$E44,0)</f>
        <v>9.989552597315436</v>
      </c>
      <c r="W44" s="126">
        <f ca="1">OFFSET(IND!Z$25,$E44,0)</f>
        <v>10.449723926174496</v>
      </c>
      <c r="X44" s="126">
        <f ca="1">OFFSET(IND!AA$25,$E44,0)</f>
        <v>10.814026228187917</v>
      </c>
      <c r="Y44" s="205">
        <f ca="1">OFFSET(IND!AB$25,$E44,0)</f>
        <v>11.274197557046978</v>
      </c>
      <c r="Z44" s="126">
        <f ca="1">OFFSET(IND!AC$25,$E44,0)</f>
        <v>11.657673664429529</v>
      </c>
      <c r="AA44" s="126">
        <f ca="1">OFFSET(IND!AD$25,$E44,0)</f>
        <v>11.906933134228186</v>
      </c>
      <c r="AB44" s="126">
        <f ca="1">OFFSET(IND!AE$25,$E44,0)</f>
        <v>12.1945402147651</v>
      </c>
      <c r="AC44" s="126">
        <f ca="1">OFFSET(IND!AF$25,$E44,0)</f>
        <v>12.501321100671138</v>
      </c>
      <c r="AD44" s="126">
        <f ca="1">OFFSET(IND!AG$25,$E44,0)</f>
        <v>12.769754375838925</v>
      </c>
      <c r="AE44" s="126">
        <f ca="1">OFFSET(IND!AH$25,$E44,0)</f>
        <v>13.095709067114093</v>
      </c>
      <c r="AF44" s="126">
        <f ca="1">OFFSET(IND!AI$25,$E44,0)</f>
        <v>13.42166375838926</v>
      </c>
      <c r="AG44" s="126">
        <f ca="1">OFFSET(IND!AJ$25,$E44,0)</f>
        <v>13.747618449664426</v>
      </c>
      <c r="AH44" s="126">
        <f ca="1">OFFSET(IND!AK$25,$E44,0)</f>
        <v>14.073573140939592</v>
      </c>
      <c r="AI44" s="126">
        <f ca="1">OFFSET(IND!AL$25,$E44,0)</f>
        <v>14.418701637583888</v>
      </c>
      <c r="AJ44" s="126">
        <f ca="1">OFFSET(IND!AM$25,$E44,0)</f>
        <v>15.49243473825503</v>
      </c>
      <c r="AK44" s="126">
        <f ca="1">OFFSET(IND!AN$25,$E44,0)</f>
        <v>16.911296335570466</v>
      </c>
      <c r="AL44" s="126">
        <f ca="1">OFFSET(IND!AO$25,$E44,0)</f>
        <v>19.346369617449614</v>
      </c>
      <c r="AM44" s="126">
        <f ca="1">OFFSET(IND!AP$25,$E44,0)</f>
        <v>21.838964315436211</v>
      </c>
      <c r="AQ44" s="4"/>
    </row>
    <row r="45" spans="1:43">
      <c r="A45" s="35" t="s">
        <v>345</v>
      </c>
      <c r="B45" t="s">
        <v>386</v>
      </c>
      <c r="E45" s="129">
        <f ca="1">MATCH(F45,IND!$D$26:$D$255,0)</f>
        <v>136</v>
      </c>
      <c r="F45" s="4" t="str">
        <f t="shared" si="0"/>
        <v>INFF</v>
      </c>
      <c r="G45" s="126">
        <f ca="1">OFFSET(IND!J$25,$E45,0)</f>
        <v>0</v>
      </c>
      <c r="H45" s="126">
        <f ca="1">OFFSET(IND!K$25,$E45,0)</f>
        <v>0</v>
      </c>
      <c r="I45" s="126">
        <f ca="1">OFFSET(IND!L$25,$E45,0)</f>
        <v>0</v>
      </c>
      <c r="J45" s="126">
        <f ca="1">OFFSET(IND!M$25,$E45,0)</f>
        <v>0</v>
      </c>
      <c r="K45" s="126">
        <f ca="1">OFFSET(IND!N$25,$E45,0)</f>
        <v>0</v>
      </c>
      <c r="L45" s="126">
        <f ca="1">OFFSET(IND!O$25,$E45,0)</f>
        <v>0</v>
      </c>
      <c r="M45" s="126">
        <f ca="1">OFFSET(IND!P$25,$E45,0)</f>
        <v>0</v>
      </c>
      <c r="N45" s="126">
        <f ca="1">OFFSET(IND!Q$25,$E45,0)</f>
        <v>0</v>
      </c>
      <c r="O45" s="203">
        <f ca="1">OFFSET(IND!R$25,$E45,0)</f>
        <v>0</v>
      </c>
      <c r="P45" s="126">
        <f ca="1">OFFSET(IND!S$25,$E45,0)</f>
        <v>0</v>
      </c>
      <c r="Q45" s="126">
        <f ca="1">OFFSET(IND!T$25,$E45,0)</f>
        <v>0</v>
      </c>
      <c r="R45" s="126">
        <f ca="1">OFFSET(IND!U$25,$E45,0)</f>
        <v>0</v>
      </c>
      <c r="S45" s="126">
        <f ca="1">OFFSET(IND!V$25,$E45,0)</f>
        <v>0</v>
      </c>
      <c r="T45" s="203">
        <f ca="1">OFFSET(IND!W$25,$E45,0)</f>
        <v>0</v>
      </c>
      <c r="U45" s="126">
        <f ca="1">OFFSET(IND!X$25,$E45,0)</f>
        <v>0</v>
      </c>
      <c r="V45" s="126">
        <f ca="1">OFFSET(IND!Y$25,$E45,0)</f>
        <v>0</v>
      </c>
      <c r="W45" s="126">
        <f ca="1">OFFSET(IND!Z$25,$E45,0)</f>
        <v>0</v>
      </c>
      <c r="X45" s="126">
        <f ca="1">OFFSET(IND!AA$25,$E45,0)</f>
        <v>0</v>
      </c>
      <c r="Y45" s="205">
        <f ca="1">OFFSET(IND!AB$25,$E45,0)</f>
        <v>0</v>
      </c>
      <c r="Z45" s="126">
        <f ca="1">OFFSET(IND!AC$25,$E45,0)</f>
        <v>0</v>
      </c>
      <c r="AA45" s="126">
        <f ca="1">OFFSET(IND!AD$25,$E45,0)</f>
        <v>0</v>
      </c>
      <c r="AB45" s="126">
        <f ca="1">OFFSET(IND!AE$25,$E45,0)</f>
        <v>0</v>
      </c>
      <c r="AC45" s="126">
        <f ca="1">OFFSET(IND!AF$25,$E45,0)</f>
        <v>0</v>
      </c>
      <c r="AD45" s="126">
        <f ca="1">OFFSET(IND!AG$25,$E45,0)</f>
        <v>0</v>
      </c>
      <c r="AE45" s="126">
        <f ca="1">OFFSET(IND!AH$25,$E45,0)</f>
        <v>0</v>
      </c>
      <c r="AF45" s="126">
        <f ca="1">OFFSET(IND!AI$25,$E45,0)</f>
        <v>0</v>
      </c>
      <c r="AG45" s="126">
        <f ca="1">OFFSET(IND!AJ$25,$E45,0)</f>
        <v>0</v>
      </c>
      <c r="AH45" s="126">
        <f ca="1">OFFSET(IND!AK$25,$E45,0)</f>
        <v>0</v>
      </c>
      <c r="AI45" s="126">
        <f ca="1">OFFSET(IND!AL$25,$E45,0)</f>
        <v>0</v>
      </c>
      <c r="AJ45" s="126">
        <f ca="1">OFFSET(IND!AM$25,$E45,0)</f>
        <v>0</v>
      </c>
      <c r="AK45" s="126">
        <f ca="1">OFFSET(IND!AN$25,$E45,0)</f>
        <v>0</v>
      </c>
      <c r="AL45" s="126">
        <f ca="1">OFFSET(IND!AO$25,$E45,0)</f>
        <v>0</v>
      </c>
      <c r="AM45" s="126">
        <f ca="1">OFFSET(IND!AP$25,$E45,0)</f>
        <v>0</v>
      </c>
      <c r="AQ45" s="4"/>
    </row>
    <row r="46" spans="1:43">
      <c r="A46" s="35" t="s">
        <v>346</v>
      </c>
      <c r="B46">
        <v>0.72389400639309998</v>
      </c>
      <c r="E46" s="129">
        <f ca="1">MATCH(F46,IND!$D$26:$D$255,0)</f>
        <v>134</v>
      </c>
      <c r="F46" s="4" t="str">
        <f t="shared" si="0"/>
        <v>INFH</v>
      </c>
      <c r="G46" s="126">
        <f ca="1">OFFSET(IND!J$25,$E46,0)</f>
        <v>0.60110629389314751</v>
      </c>
      <c r="H46" s="126">
        <f ca="1">OFFSET(IND!K$25,$E46,0)</f>
        <v>0.50121919461120013</v>
      </c>
      <c r="I46" s="126">
        <f ca="1">OFFSET(IND!L$25,$E46,0)</f>
        <v>0.43165496475412962</v>
      </c>
      <c r="J46" s="126">
        <f ca="1">OFFSET(IND!M$25,$E46,0)</f>
        <v>0.15036300000000002</v>
      </c>
      <c r="K46" s="126">
        <f ca="1">OFFSET(IND!N$25,$E46,0)</f>
        <v>0.15036300000000002</v>
      </c>
      <c r="L46" s="126">
        <f ca="1">OFFSET(IND!O$25,$E46,0)</f>
        <v>0.15036300000000002</v>
      </c>
      <c r="M46" s="126">
        <f ca="1">OFFSET(IND!P$25,$E46,0)</f>
        <v>0.1473355570469799</v>
      </c>
      <c r="N46" s="126">
        <f ca="1">OFFSET(IND!Q$25,$E46,0)</f>
        <v>0.1392623758389262</v>
      </c>
      <c r="O46" s="203">
        <f ca="1">OFFSET(IND!R$25,$E46,0)</f>
        <v>0.1142859714765101</v>
      </c>
      <c r="P46" s="126">
        <f ca="1">OFFSET(IND!S$25,$E46,0)</f>
        <v>0.11832256208053693</v>
      </c>
      <c r="Q46" s="126">
        <f ca="1">OFFSET(IND!T$25,$E46,0)</f>
        <v>0.11882713590604027</v>
      </c>
      <c r="R46" s="126">
        <f ca="1">OFFSET(IND!U$25,$E46,0)</f>
        <v>0.11958399664429531</v>
      </c>
      <c r="S46" s="126">
        <f ca="1">OFFSET(IND!V$25,$E46,0)</f>
        <v>0.12034085738255032</v>
      </c>
      <c r="T46" s="203">
        <f ca="1">OFFSET(IND!W$25,$E46,0)</f>
        <v>0.12210686577181208</v>
      </c>
      <c r="U46" s="126">
        <f ca="1">OFFSET(IND!X$25,$E46,0)</f>
        <v>0.1263957432885906</v>
      </c>
      <c r="V46" s="126">
        <f ca="1">OFFSET(IND!Y$25,$E46,0)</f>
        <v>0.13144148154362414</v>
      </c>
      <c r="W46" s="126">
        <f ca="1">OFFSET(IND!Z$25,$E46,0)</f>
        <v>0.1374963674496644</v>
      </c>
      <c r="X46" s="126">
        <f ca="1">OFFSET(IND!AA$25,$E46,0)</f>
        <v>0.14228981879194624</v>
      </c>
      <c r="Y46" s="205">
        <f ca="1">OFFSET(IND!AB$25,$E46,0)</f>
        <v>0.14834470469798652</v>
      </c>
      <c r="Z46" s="126">
        <f ca="1">OFFSET(IND!AC$25,$E46,0)</f>
        <v>0.1533904429530201</v>
      </c>
      <c r="AA46" s="126">
        <f ca="1">OFFSET(IND!AD$25,$E46,0)</f>
        <v>0.15667017281879189</v>
      </c>
      <c r="AB46" s="126">
        <f ca="1">OFFSET(IND!AE$25,$E46,0)</f>
        <v>0.16045447651006708</v>
      </c>
      <c r="AC46" s="126">
        <f ca="1">OFFSET(IND!AF$25,$E46,0)</f>
        <v>0.16449106711409389</v>
      </c>
      <c r="AD46" s="126">
        <f ca="1">OFFSET(IND!AG$25,$E46,0)</f>
        <v>0.16802308389261739</v>
      </c>
      <c r="AE46" s="126">
        <f ca="1">OFFSET(IND!AH$25,$E46,0)</f>
        <v>0.17231196140939592</v>
      </c>
      <c r="AF46" s="126">
        <f ca="1">OFFSET(IND!AI$25,$E46,0)</f>
        <v>0.17660083892617442</v>
      </c>
      <c r="AG46" s="126">
        <f ca="1">OFFSET(IND!AJ$25,$E46,0)</f>
        <v>0.18088971644295293</v>
      </c>
      <c r="AH46" s="126">
        <f ca="1">OFFSET(IND!AK$25,$E46,0)</f>
        <v>0.18517859395973144</v>
      </c>
      <c r="AI46" s="126">
        <f ca="1">OFFSET(IND!AL$25,$E46,0)</f>
        <v>0.18971975838926164</v>
      </c>
      <c r="AJ46" s="126">
        <f ca="1">OFFSET(IND!AM$25,$E46,0)</f>
        <v>0.20384782550335559</v>
      </c>
      <c r="AK46" s="126">
        <f ca="1">OFFSET(IND!AN$25,$E46,0)</f>
        <v>0.22251705704697974</v>
      </c>
      <c r="AL46" s="126">
        <f ca="1">OFFSET(IND!AO$25,$E46,0)</f>
        <v>0.2545574949664422</v>
      </c>
      <c r="AM46" s="126">
        <f ca="1">OFFSET(IND!AP$25,$E46,0)</f>
        <v>0.28735479362416055</v>
      </c>
      <c r="AQ46" s="4"/>
    </row>
    <row r="47" spans="1:43">
      <c r="A47" s="35" t="s">
        <v>347</v>
      </c>
      <c r="B47">
        <v>0.80432667377019995</v>
      </c>
      <c r="E47" s="129">
        <f ca="1">MATCH(F47,IND!$D$26:$D$255,0)</f>
        <v>130</v>
      </c>
      <c r="F47" s="4" t="str">
        <f t="shared" si="0"/>
        <v>INFK</v>
      </c>
      <c r="G47" s="126">
        <f ca="1">OFFSET(IND!J$25,$E47,0)</f>
        <v>0.66789588210349726</v>
      </c>
      <c r="H47" s="126">
        <f ca="1">OFFSET(IND!K$25,$E47,0)</f>
        <v>0.55691021623466685</v>
      </c>
      <c r="I47" s="126">
        <f ca="1">OFFSET(IND!L$25,$E47,0)</f>
        <v>0.47961662750458856</v>
      </c>
      <c r="J47" s="126">
        <f ca="1">OFFSET(IND!M$25,$E47,0)</f>
        <v>0.16707000000000002</v>
      </c>
      <c r="K47" s="126">
        <f ca="1">OFFSET(IND!N$25,$E47,0)</f>
        <v>0.16707000000000002</v>
      </c>
      <c r="L47" s="126">
        <f ca="1">OFFSET(IND!O$25,$E47,0)</f>
        <v>0.16707000000000002</v>
      </c>
      <c r="M47" s="126">
        <f ca="1">OFFSET(IND!P$25,$E47,0)</f>
        <v>0.16370617449664432</v>
      </c>
      <c r="N47" s="126">
        <f ca="1">OFFSET(IND!Q$25,$E47,0)</f>
        <v>0.15473597315436244</v>
      </c>
      <c r="O47" s="203">
        <f ca="1">OFFSET(IND!R$25,$E47,0)</f>
        <v>0.12698441275167788</v>
      </c>
      <c r="P47" s="126">
        <f ca="1">OFFSET(IND!S$25,$E47,0)</f>
        <v>0.13146951342281882</v>
      </c>
      <c r="Q47" s="126">
        <f ca="1">OFFSET(IND!T$25,$E47,0)</f>
        <v>0.13203015100671142</v>
      </c>
      <c r="R47" s="126">
        <f ca="1">OFFSET(IND!U$25,$E47,0)</f>
        <v>0.13287110738255034</v>
      </c>
      <c r="S47" s="126">
        <f ca="1">OFFSET(IND!V$25,$E47,0)</f>
        <v>0.13371206375838923</v>
      </c>
      <c r="T47" s="203">
        <f ca="1">OFFSET(IND!W$25,$E47,0)</f>
        <v>0.13567429530201341</v>
      </c>
      <c r="U47" s="126">
        <f ca="1">OFFSET(IND!X$25,$E47,0)</f>
        <v>0.14043971476510067</v>
      </c>
      <c r="V47" s="126">
        <f ca="1">OFFSET(IND!Y$25,$E47,0)</f>
        <v>0.14604609060402685</v>
      </c>
      <c r="W47" s="126">
        <f ca="1">OFFSET(IND!Z$25,$E47,0)</f>
        <v>0.15277374161073826</v>
      </c>
      <c r="X47" s="126">
        <f ca="1">OFFSET(IND!AA$25,$E47,0)</f>
        <v>0.15809979865771809</v>
      </c>
      <c r="Y47" s="205">
        <f ca="1">OFFSET(IND!AB$25,$E47,0)</f>
        <v>0.1648274496644295</v>
      </c>
      <c r="Z47" s="126">
        <f ca="1">OFFSET(IND!AC$25,$E47,0)</f>
        <v>0.17043382550335567</v>
      </c>
      <c r="AA47" s="126">
        <f ca="1">OFFSET(IND!AD$25,$E47,0)</f>
        <v>0.17407796979865767</v>
      </c>
      <c r="AB47" s="126">
        <f ca="1">OFFSET(IND!AE$25,$E47,0)</f>
        <v>0.17828275167785232</v>
      </c>
      <c r="AC47" s="126">
        <f ca="1">OFFSET(IND!AF$25,$E47,0)</f>
        <v>0.1827678523489932</v>
      </c>
      <c r="AD47" s="126">
        <f ca="1">OFFSET(IND!AG$25,$E47,0)</f>
        <v>0.18669231543624154</v>
      </c>
      <c r="AE47" s="126">
        <f ca="1">OFFSET(IND!AH$25,$E47,0)</f>
        <v>0.1914577348993288</v>
      </c>
      <c r="AF47" s="126">
        <f ca="1">OFFSET(IND!AI$25,$E47,0)</f>
        <v>0.19622315436241602</v>
      </c>
      <c r="AG47" s="126">
        <f ca="1">OFFSET(IND!AJ$25,$E47,0)</f>
        <v>0.20098857382550325</v>
      </c>
      <c r="AH47" s="126">
        <f ca="1">OFFSET(IND!AK$25,$E47,0)</f>
        <v>0.20575399328859048</v>
      </c>
      <c r="AI47" s="126">
        <f ca="1">OFFSET(IND!AL$25,$E47,0)</f>
        <v>0.21079973154362405</v>
      </c>
      <c r="AJ47" s="126">
        <f ca="1">OFFSET(IND!AM$25,$E47,0)</f>
        <v>0.22649758389261734</v>
      </c>
      <c r="AK47" s="126">
        <f ca="1">OFFSET(IND!AN$25,$E47,0)</f>
        <v>0.24724117449664421</v>
      </c>
      <c r="AL47" s="126">
        <f ca="1">OFFSET(IND!AO$25,$E47,0)</f>
        <v>0.28284166107382469</v>
      </c>
      <c r="AM47" s="126">
        <f ca="1">OFFSET(IND!AP$25,$E47,0)</f>
        <v>0.31928310402684512</v>
      </c>
      <c r="AQ47" s="4"/>
    </row>
    <row r="48" spans="1:43">
      <c r="A48" s="35" t="s">
        <v>348</v>
      </c>
      <c r="B48">
        <v>0.241298002131</v>
      </c>
      <c r="E48" s="129">
        <f ca="1">MATCH(F48,IND!$D$26:$D$255,0)</f>
        <v>132</v>
      </c>
      <c r="F48" s="4" t="str">
        <f t="shared" si="0"/>
        <v>INFL</v>
      </c>
      <c r="G48" s="126">
        <f ca="1">OFFSET(IND!J$25,$E48,0)</f>
        <v>0.20036876463104916</v>
      </c>
      <c r="H48" s="126">
        <f ca="1">OFFSET(IND!K$25,$E48,0)</f>
        <v>0.16707306487040005</v>
      </c>
      <c r="I48" s="126">
        <f ca="1">OFFSET(IND!L$25,$E48,0)</f>
        <v>0.14388498825137655</v>
      </c>
      <c r="J48" s="126">
        <f ca="1">OFFSET(IND!M$25,$E48,0)</f>
        <v>5.0121000000000006E-2</v>
      </c>
      <c r="K48" s="126">
        <f ca="1">OFFSET(IND!N$25,$E48,0)</f>
        <v>5.0121000000000006E-2</v>
      </c>
      <c r="L48" s="126">
        <f ca="1">OFFSET(IND!O$25,$E48,0)</f>
        <v>5.0121000000000006E-2</v>
      </c>
      <c r="M48" s="126">
        <f ca="1">OFFSET(IND!P$25,$E48,0)</f>
        <v>4.9111852348993297E-2</v>
      </c>
      <c r="N48" s="126">
        <f ca="1">OFFSET(IND!Q$25,$E48,0)</f>
        <v>4.6420791946308736E-2</v>
      </c>
      <c r="O48" s="203">
        <f ca="1">OFFSET(IND!R$25,$E48,0)</f>
        <v>3.8095323825503367E-2</v>
      </c>
      <c r="P48" s="126">
        <f ca="1">OFFSET(IND!S$25,$E48,0)</f>
        <v>3.9440854026845648E-2</v>
      </c>
      <c r="Q48" s="126">
        <f ca="1">OFFSET(IND!T$25,$E48,0)</f>
        <v>3.9609045302013431E-2</v>
      </c>
      <c r="R48" s="126">
        <f ca="1">OFFSET(IND!U$25,$E48,0)</f>
        <v>3.9861332214765108E-2</v>
      </c>
      <c r="S48" s="126">
        <f ca="1">OFFSET(IND!V$25,$E48,0)</f>
        <v>4.0113619127516778E-2</v>
      </c>
      <c r="T48" s="203">
        <f ca="1">OFFSET(IND!W$25,$E48,0)</f>
        <v>4.0702288590604034E-2</v>
      </c>
      <c r="U48" s="126">
        <f ca="1">OFFSET(IND!X$25,$E48,0)</f>
        <v>4.2131914429530209E-2</v>
      </c>
      <c r="V48" s="126">
        <f ca="1">OFFSET(IND!Y$25,$E48,0)</f>
        <v>4.3813827181208062E-2</v>
      </c>
      <c r="W48" s="126">
        <f ca="1">OFFSET(IND!Z$25,$E48,0)</f>
        <v>4.583212248322148E-2</v>
      </c>
      <c r="X48" s="126">
        <f ca="1">OFFSET(IND!AA$25,$E48,0)</f>
        <v>4.7429939597315431E-2</v>
      </c>
      <c r="Y48" s="205">
        <f ca="1">OFFSET(IND!AB$25,$E48,0)</f>
        <v>4.9448234899328855E-2</v>
      </c>
      <c r="Z48" s="126">
        <f ca="1">OFFSET(IND!AC$25,$E48,0)</f>
        <v>5.1130147651006708E-2</v>
      </c>
      <c r="AA48" s="126">
        <f ca="1">OFFSET(IND!AD$25,$E48,0)</f>
        <v>5.2223390939597311E-2</v>
      </c>
      <c r="AB48" s="126">
        <f ca="1">OFFSET(IND!AE$25,$E48,0)</f>
        <v>5.3484825503355704E-2</v>
      </c>
      <c r="AC48" s="126">
        <f ca="1">OFFSET(IND!AF$25,$E48,0)</f>
        <v>5.4830355704697971E-2</v>
      </c>
      <c r="AD48" s="126">
        <f ca="1">OFFSET(IND!AG$25,$E48,0)</f>
        <v>5.6007694630872476E-2</v>
      </c>
      <c r="AE48" s="126">
        <f ca="1">OFFSET(IND!AH$25,$E48,0)</f>
        <v>5.7437320469798651E-2</v>
      </c>
      <c r="AF48" s="126">
        <f ca="1">OFFSET(IND!AI$25,$E48,0)</f>
        <v>5.886694630872482E-2</v>
      </c>
      <c r="AG48" s="126">
        <f ca="1">OFFSET(IND!AJ$25,$E48,0)</f>
        <v>6.0296572147650988E-2</v>
      </c>
      <c r="AH48" s="126">
        <f ca="1">OFFSET(IND!AK$25,$E48,0)</f>
        <v>6.1726197986577157E-2</v>
      </c>
      <c r="AI48" s="126">
        <f ca="1">OFFSET(IND!AL$25,$E48,0)</f>
        <v>6.3239919463087227E-2</v>
      </c>
      <c r="AJ48" s="126">
        <f ca="1">OFFSET(IND!AM$25,$E48,0)</f>
        <v>6.794927516778522E-2</v>
      </c>
      <c r="AK48" s="126">
        <f ca="1">OFFSET(IND!AN$25,$E48,0)</f>
        <v>7.4172352348993276E-2</v>
      </c>
      <c r="AL48" s="126">
        <f ca="1">OFFSET(IND!AO$25,$E48,0)</f>
        <v>8.4852498322147432E-2</v>
      </c>
      <c r="AM48" s="126">
        <f ca="1">OFFSET(IND!AP$25,$E48,0)</f>
        <v>9.5784931208053564E-2</v>
      </c>
      <c r="AQ48" s="4"/>
    </row>
    <row r="49" spans="1:43">
      <c r="A49" s="35" t="s">
        <v>349</v>
      </c>
      <c r="B49">
        <v>4.5042293731129996</v>
      </c>
      <c r="E49" s="129">
        <f ca="1">MATCH(F49,IND!$D$26:$D$255,0)</f>
        <v>137</v>
      </c>
      <c r="F49" s="4" t="str">
        <f t="shared" si="0"/>
        <v>INFO</v>
      </c>
      <c r="G49" s="126">
        <f ca="1">OFFSET(IND!J$25,$E49,0)</f>
        <v>3.7402169397795855</v>
      </c>
      <c r="H49" s="126">
        <f ca="1">OFFSET(IND!K$25,$E49,0)</f>
        <v>3.1186972109141351</v>
      </c>
      <c r="I49" s="126">
        <f ca="1">OFFSET(IND!L$25,$E49,0)</f>
        <v>2.6858531140256963</v>
      </c>
      <c r="J49" s="126">
        <f ca="1">OFFSET(IND!M$25,$E49,0)</f>
        <v>0.9355920000000002</v>
      </c>
      <c r="K49" s="126">
        <f ca="1">OFFSET(IND!N$25,$E49,0)</f>
        <v>0.9355920000000002</v>
      </c>
      <c r="L49" s="126">
        <f ca="1">OFFSET(IND!O$25,$E49,0)</f>
        <v>0.9355920000000002</v>
      </c>
      <c r="M49" s="126">
        <f ca="1">OFFSET(IND!P$25,$E49,0)</f>
        <v>0.91675457718120823</v>
      </c>
      <c r="N49" s="126">
        <f ca="1">OFFSET(IND!Q$25,$E49,0)</f>
        <v>0.86652144966442968</v>
      </c>
      <c r="O49" s="203">
        <f ca="1">OFFSET(IND!R$25,$E49,0)</f>
        <v>0.71111271140939614</v>
      </c>
      <c r="P49" s="126">
        <f ca="1">OFFSET(IND!S$25,$E49,0)</f>
        <v>0.73622927516778536</v>
      </c>
      <c r="Q49" s="126">
        <f ca="1">OFFSET(IND!T$25,$E49,0)</f>
        <v>0.73936884563758398</v>
      </c>
      <c r="R49" s="126">
        <f ca="1">OFFSET(IND!U$25,$E49,0)</f>
        <v>0.74407820134228198</v>
      </c>
      <c r="S49" s="126">
        <f ca="1">OFFSET(IND!V$25,$E49,0)</f>
        <v>0.74878755704697986</v>
      </c>
      <c r="T49" s="203">
        <f ca="1">OFFSET(IND!W$25,$E49,0)</f>
        <v>0.75977605369127532</v>
      </c>
      <c r="U49" s="126">
        <f ca="1">OFFSET(IND!X$25,$E49,0)</f>
        <v>0.78646240268456391</v>
      </c>
      <c r="V49" s="126">
        <f ca="1">OFFSET(IND!Y$25,$E49,0)</f>
        <v>0.81785810738255049</v>
      </c>
      <c r="W49" s="126">
        <f ca="1">OFFSET(IND!Z$25,$E49,0)</f>
        <v>0.85553295302013432</v>
      </c>
      <c r="X49" s="126">
        <f ca="1">OFFSET(IND!AA$25,$E49,0)</f>
        <v>0.88535887248322143</v>
      </c>
      <c r="Y49" s="205">
        <f ca="1">OFFSET(IND!AB$25,$E49,0)</f>
        <v>0.92303371812080537</v>
      </c>
      <c r="Z49" s="126">
        <f ca="1">OFFSET(IND!AC$25,$E49,0)</f>
        <v>0.95442942281879195</v>
      </c>
      <c r="AA49" s="126">
        <f ca="1">OFFSET(IND!AD$25,$E49,0)</f>
        <v>0.97483663087248318</v>
      </c>
      <c r="AB49" s="126">
        <f ca="1">OFFSET(IND!AE$25,$E49,0)</f>
        <v>0.99838340939597325</v>
      </c>
      <c r="AC49" s="126">
        <f ca="1">OFFSET(IND!AF$25,$E49,0)</f>
        <v>1.0234999731543624</v>
      </c>
      <c r="AD49" s="126">
        <f ca="1">OFFSET(IND!AG$25,$E49,0)</f>
        <v>1.0454769664429531</v>
      </c>
      <c r="AE49" s="126">
        <f ca="1">OFFSET(IND!AH$25,$E49,0)</f>
        <v>1.0721633154362418</v>
      </c>
      <c r="AF49" s="126">
        <f ca="1">OFFSET(IND!AI$25,$E49,0)</f>
        <v>1.0988496644295302</v>
      </c>
      <c r="AG49" s="126">
        <f ca="1">OFFSET(IND!AJ$25,$E49,0)</f>
        <v>1.1255360134228187</v>
      </c>
      <c r="AH49" s="126">
        <f ca="1">OFFSET(IND!AK$25,$E49,0)</f>
        <v>1.1522223624161072</v>
      </c>
      <c r="AI49" s="126">
        <f ca="1">OFFSET(IND!AL$25,$E49,0)</f>
        <v>1.1804784966442952</v>
      </c>
      <c r="AJ49" s="126">
        <f ca="1">OFFSET(IND!AM$25,$E49,0)</f>
        <v>1.2683864697986575</v>
      </c>
      <c r="AK49" s="126">
        <f ca="1">OFFSET(IND!AN$25,$E49,0)</f>
        <v>1.3845505771812079</v>
      </c>
      <c r="AL49" s="126">
        <f ca="1">OFFSET(IND!AO$25,$E49,0)</f>
        <v>1.5839133020134188</v>
      </c>
      <c r="AM49" s="126">
        <f ca="1">OFFSET(IND!AP$25,$E49,0)</f>
        <v>1.7879853825503333</v>
      </c>
      <c r="AQ49" s="4"/>
    </row>
    <row r="50" spans="1:43">
      <c r="A50" s="35" t="s">
        <v>350</v>
      </c>
      <c r="B50" t="s">
        <v>386</v>
      </c>
      <c r="E50" s="129">
        <f ca="1">MATCH(F50,IND!$D$26:$D$255,0)</f>
        <v>135</v>
      </c>
      <c r="F50" s="4" t="str">
        <f t="shared" si="0"/>
        <v>INFP</v>
      </c>
      <c r="G50" s="126">
        <f ca="1">OFFSET(IND!J$25,$E50,0)</f>
        <v>0</v>
      </c>
      <c r="H50" s="126">
        <f ca="1">OFFSET(IND!K$25,$E50,0)</f>
        <v>0</v>
      </c>
      <c r="I50" s="126">
        <f ca="1">OFFSET(IND!L$25,$E50,0)</f>
        <v>0</v>
      </c>
      <c r="J50" s="126">
        <f ca="1">OFFSET(IND!M$25,$E50,0)</f>
        <v>0</v>
      </c>
      <c r="K50" s="126">
        <f ca="1">OFFSET(IND!N$25,$E50,0)</f>
        <v>0</v>
      </c>
      <c r="L50" s="126">
        <f ca="1">OFFSET(IND!O$25,$E50,0)</f>
        <v>0</v>
      </c>
      <c r="M50" s="126">
        <f ca="1">OFFSET(IND!P$25,$E50,0)</f>
        <v>0</v>
      </c>
      <c r="N50" s="126">
        <f ca="1">OFFSET(IND!Q$25,$E50,0)</f>
        <v>0</v>
      </c>
      <c r="O50" s="203">
        <f ca="1">OFFSET(IND!R$25,$E50,0)</f>
        <v>0</v>
      </c>
      <c r="P50" s="126">
        <f ca="1">OFFSET(IND!S$25,$E50,0)</f>
        <v>0</v>
      </c>
      <c r="Q50" s="126">
        <f ca="1">OFFSET(IND!T$25,$E50,0)</f>
        <v>0</v>
      </c>
      <c r="R50" s="126">
        <f ca="1">OFFSET(IND!U$25,$E50,0)</f>
        <v>0</v>
      </c>
      <c r="S50" s="126">
        <f ca="1">OFFSET(IND!V$25,$E50,0)</f>
        <v>0</v>
      </c>
      <c r="T50" s="203">
        <f ca="1">OFFSET(IND!W$25,$E50,0)</f>
        <v>0</v>
      </c>
      <c r="U50" s="126">
        <f ca="1">OFFSET(IND!X$25,$E50,0)</f>
        <v>0</v>
      </c>
      <c r="V50" s="126">
        <f ca="1">OFFSET(IND!Y$25,$E50,0)</f>
        <v>0</v>
      </c>
      <c r="W50" s="126">
        <f ca="1">OFFSET(IND!Z$25,$E50,0)</f>
        <v>0</v>
      </c>
      <c r="X50" s="126">
        <f ca="1">OFFSET(IND!AA$25,$E50,0)</f>
        <v>0</v>
      </c>
      <c r="Y50" s="205">
        <f ca="1">OFFSET(IND!AB$25,$E50,0)</f>
        <v>0</v>
      </c>
      <c r="Z50" s="126">
        <f ca="1">OFFSET(IND!AC$25,$E50,0)</f>
        <v>0</v>
      </c>
      <c r="AA50" s="126">
        <f ca="1">OFFSET(IND!AD$25,$E50,0)</f>
        <v>0</v>
      </c>
      <c r="AB50" s="126">
        <f ca="1">OFFSET(IND!AE$25,$E50,0)</f>
        <v>0</v>
      </c>
      <c r="AC50" s="126">
        <f ca="1">OFFSET(IND!AF$25,$E50,0)</f>
        <v>0</v>
      </c>
      <c r="AD50" s="126">
        <f ca="1">OFFSET(IND!AG$25,$E50,0)</f>
        <v>0</v>
      </c>
      <c r="AE50" s="126">
        <f ca="1">OFFSET(IND!AH$25,$E50,0)</f>
        <v>0</v>
      </c>
      <c r="AF50" s="126">
        <f ca="1">OFFSET(IND!AI$25,$E50,0)</f>
        <v>0</v>
      </c>
      <c r="AG50" s="126">
        <f ca="1">OFFSET(IND!AJ$25,$E50,0)</f>
        <v>0</v>
      </c>
      <c r="AH50" s="126">
        <f ca="1">OFFSET(IND!AK$25,$E50,0)</f>
        <v>0</v>
      </c>
      <c r="AI50" s="126">
        <f ca="1">OFFSET(IND!AL$25,$E50,0)</f>
        <v>0</v>
      </c>
      <c r="AJ50" s="126">
        <f ca="1">OFFSET(IND!AM$25,$E50,0)</f>
        <v>0</v>
      </c>
      <c r="AK50" s="126">
        <f ca="1">OFFSET(IND!AN$25,$E50,0)</f>
        <v>0</v>
      </c>
      <c r="AL50" s="126">
        <f ca="1">OFFSET(IND!AO$25,$E50,0)</f>
        <v>0</v>
      </c>
      <c r="AM50" s="126">
        <f ca="1">OFFSET(IND!AP$25,$E50,0)</f>
        <v>0</v>
      </c>
      <c r="AQ50" s="4"/>
    </row>
    <row r="51" spans="1:43">
      <c r="A51" s="35" t="s">
        <v>351</v>
      </c>
      <c r="B51">
        <v>0.51839999999999997</v>
      </c>
      <c r="E51" s="129">
        <f ca="1">MATCH(F51,IND!$D$26:$D$255,0)</f>
        <v>140</v>
      </c>
      <c r="F51" s="4" t="str">
        <f t="shared" si="0"/>
        <v>INFS</v>
      </c>
      <c r="G51" s="126">
        <f ca="1">OFFSET(IND!J$25,$E51,0)</f>
        <v>2.487856608</v>
      </c>
      <c r="H51" s="126">
        <f ca="1">OFFSET(IND!K$25,$E51,0)</f>
        <v>2.0744442339703264</v>
      </c>
      <c r="I51" s="126">
        <f ca="1">OFFSET(IND!L$25,$E51,0)</f>
        <v>1.7865320449139466</v>
      </c>
      <c r="J51" s="126">
        <f ca="1">OFFSET(IND!M$25,$E51,0)</f>
        <v>0.65368000000000004</v>
      </c>
      <c r="K51" s="126">
        <f ca="1">OFFSET(IND!N$25,$E51,0)</f>
        <v>0.65368000000000004</v>
      </c>
      <c r="L51" s="126">
        <f ca="1">OFFSET(IND!O$25,$E51,0)</f>
        <v>0.65368000000000004</v>
      </c>
      <c r="M51" s="126">
        <f ca="1">OFFSET(IND!P$25,$E51,0)</f>
        <v>0.64051865771812089</v>
      </c>
      <c r="N51" s="126">
        <f ca="1">OFFSET(IND!Q$25,$E51,0)</f>
        <v>0.60542174496644308</v>
      </c>
      <c r="O51" s="203">
        <f ca="1">OFFSET(IND!R$25,$E51,0)</f>
        <v>0.49684067114093977</v>
      </c>
      <c r="P51" s="126">
        <f ca="1">OFFSET(IND!S$25,$E51,0)</f>
        <v>0.51438912751677868</v>
      </c>
      <c r="Q51" s="126">
        <f ca="1">OFFSET(IND!T$25,$E51,0)</f>
        <v>0.51658268456375844</v>
      </c>
      <c r="R51" s="126">
        <f ca="1">OFFSET(IND!U$25,$E51,0)</f>
        <v>0.5198730201342282</v>
      </c>
      <c r="S51" s="126">
        <f ca="1">OFFSET(IND!V$25,$E51,0)</f>
        <v>0.52316335570469785</v>
      </c>
      <c r="T51" s="203">
        <f ca="1">OFFSET(IND!W$25,$E51,0)</f>
        <v>0.53084080536912748</v>
      </c>
      <c r="U51" s="126">
        <f ca="1">OFFSET(IND!X$25,$E51,0)</f>
        <v>0.54948604026845638</v>
      </c>
      <c r="V51" s="126">
        <f ca="1">OFFSET(IND!Y$25,$E51,0)</f>
        <v>0.57142161073825504</v>
      </c>
      <c r="W51" s="126">
        <f ca="1">OFFSET(IND!Z$25,$E51,0)</f>
        <v>0.59774429530201345</v>
      </c>
      <c r="X51" s="126">
        <f ca="1">OFFSET(IND!AA$25,$E51,0)</f>
        <v>0.61858308724832212</v>
      </c>
      <c r="Y51" s="205">
        <f ca="1">OFFSET(IND!AB$25,$E51,0)</f>
        <v>0.64490577181208053</v>
      </c>
      <c r="Z51" s="126">
        <f ca="1">OFFSET(IND!AC$25,$E51,0)</f>
        <v>0.66684134228187919</v>
      </c>
      <c r="AA51" s="126">
        <f ca="1">OFFSET(IND!AD$25,$E51,0)</f>
        <v>0.68109946308724822</v>
      </c>
      <c r="AB51" s="126">
        <f ca="1">OFFSET(IND!AE$25,$E51,0)</f>
        <v>0.69755114093959725</v>
      </c>
      <c r="AC51" s="126">
        <f ca="1">OFFSET(IND!AF$25,$E51,0)</f>
        <v>0.71509959731543604</v>
      </c>
      <c r="AD51" s="126">
        <f ca="1">OFFSET(IND!AG$25,$E51,0)</f>
        <v>0.73045449664429518</v>
      </c>
      <c r="AE51" s="126">
        <f ca="1">OFFSET(IND!AH$25,$E51,0)</f>
        <v>0.74909973154362408</v>
      </c>
      <c r="AF51" s="126">
        <f ca="1">OFFSET(IND!AI$25,$E51,0)</f>
        <v>0.76774496644295287</v>
      </c>
      <c r="AG51" s="126">
        <f ca="1">OFFSET(IND!AJ$25,$E51,0)</f>
        <v>0.78639020134228166</v>
      </c>
      <c r="AH51" s="126">
        <f ca="1">OFFSET(IND!AK$25,$E51,0)</f>
        <v>0.80503543624161045</v>
      </c>
      <c r="AI51" s="126">
        <f ca="1">OFFSET(IND!AL$25,$E51,0)</f>
        <v>0.82477744966442923</v>
      </c>
      <c r="AJ51" s="126">
        <f ca="1">OFFSET(IND!AM$25,$E51,0)</f>
        <v>0.88619704697986545</v>
      </c>
      <c r="AK51" s="126">
        <f ca="1">OFFSET(IND!AN$25,$E51,0)</f>
        <v>0.96735865771812057</v>
      </c>
      <c r="AL51" s="126">
        <f ca="1">OFFSET(IND!AO$25,$E51,0)</f>
        <v>1.1066495302013393</v>
      </c>
      <c r="AM51" s="126">
        <f ca="1">OFFSET(IND!AP$25,$E51,0)</f>
        <v>1.2492307382550316</v>
      </c>
      <c r="AQ51" s="4"/>
    </row>
    <row r="52" spans="1:43">
      <c r="A52" s="35" t="s">
        <v>352</v>
      </c>
      <c r="B52">
        <v>0.24189876324029999</v>
      </c>
      <c r="E52" s="129">
        <f ca="1">MATCH(F52,IND!$D$26:$D$255,0)</f>
        <v>209</v>
      </c>
      <c r="F52" s="4" t="str">
        <f t="shared" si="0"/>
        <v>IOTA</v>
      </c>
      <c r="G52" s="126">
        <f ca="1">OFFSET(IND!J$25,$E52,0)</f>
        <v>0.22789646617646991</v>
      </c>
      <c r="H52" s="126">
        <f ca="1">OFFSET(IND!K$25,$E52,0)</f>
        <v>0.23382854828968336</v>
      </c>
      <c r="I52" s="126">
        <f ca="1">OFFSET(IND!L$25,$E52,0)</f>
        <v>0.23771875548301416</v>
      </c>
      <c r="J52" s="126">
        <f ca="1">OFFSET(IND!M$25,$E52,0)</f>
        <v>0.12355272</v>
      </c>
      <c r="K52" s="126">
        <f ca="1">OFFSET(IND!N$25,$E52,0)</f>
        <v>0.12355272</v>
      </c>
      <c r="L52" s="126">
        <f ca="1">OFFSET(IND!O$25,$E52,0)</f>
        <v>0.12355272</v>
      </c>
      <c r="M52" s="126">
        <f ca="1">OFFSET(IND!P$25,$E52,0)</f>
        <v>0.12462904843905918</v>
      </c>
      <c r="N52" s="126">
        <f ca="1">OFFSET(IND!Q$25,$E52,0)</f>
        <v>0.12459480162508911</v>
      </c>
      <c r="O52" s="203">
        <f ca="1">OFFSET(IND!R$25,$E52,0)</f>
        <v>0.11264266354953673</v>
      </c>
      <c r="P52" s="126">
        <f ca="1">OFFSET(IND!S$25,$E52,0)</f>
        <v>0.11579826283677834</v>
      </c>
      <c r="Q52" s="126">
        <f ca="1">OFFSET(IND!T$25,$E52,0)</f>
        <v>0.11868478001425517</v>
      </c>
      <c r="R52" s="126">
        <f ca="1">OFFSET(IND!U$25,$E52,0)</f>
        <v>0.12149301875980044</v>
      </c>
      <c r="S52" s="126">
        <f ca="1">OFFSET(IND!V$25,$E52,0)</f>
        <v>0.12418383985744835</v>
      </c>
      <c r="T52" s="203">
        <f ca="1">OFFSET(IND!W$25,$E52,0)</f>
        <v>0.12701164821097652</v>
      </c>
      <c r="U52" s="126">
        <f ca="1">OFFSET(IND!X$25,$E52,0)</f>
        <v>0.13058799406985036</v>
      </c>
      <c r="V52" s="126">
        <f ca="1">OFFSET(IND!Y$25,$E52,0)</f>
        <v>0.13411541590876697</v>
      </c>
      <c r="W52" s="126">
        <f ca="1">OFFSET(IND!Z$25,$E52,0)</f>
        <v>0.13778471740555956</v>
      </c>
      <c r="X52" s="126">
        <f ca="1">OFFSET(IND!AA$25,$E52,0)</f>
        <v>0.14150294292230939</v>
      </c>
      <c r="Y52" s="205">
        <f ca="1">OFFSET(IND!AB$25,$E52,0)</f>
        <v>0.14531412407697794</v>
      </c>
      <c r="Z52" s="126">
        <f ca="1">OFFSET(IND!AC$25,$E52,0)</f>
        <v>0.14953137459729157</v>
      </c>
      <c r="AA52" s="126">
        <f ca="1">OFFSET(IND!AD$25,$E52,0)</f>
        <v>0.15357739104775489</v>
      </c>
      <c r="AB52" s="126">
        <f ca="1">OFFSET(IND!AE$25,$E52,0)</f>
        <v>0.15805393887384184</v>
      </c>
      <c r="AC52" s="126">
        <f ca="1">OFFSET(IND!AF$25,$E52,0)</f>
        <v>0.16285338523164652</v>
      </c>
      <c r="AD52" s="126">
        <f ca="1">OFFSET(IND!AG$25,$E52,0)</f>
        <v>0.16794148330719891</v>
      </c>
      <c r="AE52" s="126">
        <f ca="1">OFFSET(IND!AH$25,$E52,0)</f>
        <v>0.1732350622665717</v>
      </c>
      <c r="AF52" s="126">
        <f ca="1">OFFSET(IND!AI$25,$E52,0)</f>
        <v>0.1787194449037777</v>
      </c>
      <c r="AG52" s="126">
        <f ca="1">OFFSET(IND!AJ$25,$E52,0)</f>
        <v>0.18425764396293662</v>
      </c>
      <c r="AH52" s="126">
        <f ca="1">OFFSET(IND!AK$25,$E52,0)</f>
        <v>0.19000132390591598</v>
      </c>
      <c r="AI52" s="126">
        <f ca="1">OFFSET(IND!AL$25,$E52,0)</f>
        <v>0.19608257958660025</v>
      </c>
      <c r="AJ52" s="126">
        <f ca="1">OFFSET(IND!AM$25,$E52,0)</f>
        <v>0.22981569134711344</v>
      </c>
      <c r="AK52" s="126">
        <f ca="1">OFFSET(IND!AN$25,$E52,0)</f>
        <v>0.27236980390591603</v>
      </c>
      <c r="AL52" s="126">
        <f ca="1">OFFSET(IND!AO$25,$E52,0)</f>
        <v>0.34718686142551713</v>
      </c>
      <c r="AM52" s="126">
        <f ca="1">OFFSET(IND!AP$25,$E52,0)</f>
        <v>0.42347408574483131</v>
      </c>
      <c r="AQ52" s="4"/>
    </row>
    <row r="53" spans="1:43">
      <c r="A53" s="35" t="s">
        <v>353</v>
      </c>
      <c r="B53">
        <v>4.5502640185010002</v>
      </c>
      <c r="E53" s="129">
        <f ca="1">MATCH(F53,IND!$D$26:$D$255,0)</f>
        <v>211</v>
      </c>
      <c r="F53" s="4" t="str">
        <f t="shared" si="0"/>
        <v>IOTC</v>
      </c>
      <c r="G53" s="126">
        <f ca="1">OFFSET(IND!J$25,$E53,0)</f>
        <v>4.2868722274366169</v>
      </c>
      <c r="H53" s="126">
        <f ca="1">OFFSET(IND!K$25,$E53,0)</f>
        <v>4.3984583283036507</v>
      </c>
      <c r="I53" s="126">
        <f ca="1">OFFSET(IND!L$25,$E53,0)</f>
        <v>4.4716355102751804</v>
      </c>
      <c r="J53" s="126">
        <f ca="1">OFFSET(IND!M$25,$E53,0)</f>
        <v>2.3241024000000006</v>
      </c>
      <c r="K53" s="126">
        <f ca="1">OFFSET(IND!N$25,$E53,0)</f>
        <v>2.3241024000000006</v>
      </c>
      <c r="L53" s="126">
        <f ca="1">OFFSET(IND!O$25,$E53,0)</f>
        <v>2.3241024000000006</v>
      </c>
      <c r="M53" s="126">
        <f ca="1">OFFSET(IND!P$25,$E53,0)</f>
        <v>2.3443487977191744</v>
      </c>
      <c r="N53" s="126">
        <f ca="1">OFFSET(IND!Q$25,$E53,0)</f>
        <v>2.3437045941553825</v>
      </c>
      <c r="O53" s="203">
        <f ca="1">OFFSET(IND!R$25,$E53,0)</f>
        <v>2.1188775503920181</v>
      </c>
      <c r="P53" s="126">
        <f ca="1">OFFSET(IND!S$25,$E53,0)</f>
        <v>2.1782363073414119</v>
      </c>
      <c r="Q53" s="126">
        <f ca="1">OFFSET(IND!T$25,$E53,0)</f>
        <v>2.2325334648610125</v>
      </c>
      <c r="R53" s="126">
        <f ca="1">OFFSET(IND!U$25,$E53,0)</f>
        <v>2.2853581570919466</v>
      </c>
      <c r="S53" s="126">
        <f ca="1">OFFSET(IND!V$25,$E53,0)</f>
        <v>2.33597415138988</v>
      </c>
      <c r="T53" s="203">
        <f ca="1">OFFSET(IND!W$25,$E53,0)</f>
        <v>2.3891669599429806</v>
      </c>
      <c r="U53" s="126">
        <f ca="1">OFFSET(IND!X$25,$E53,0)</f>
        <v>2.4564402178189604</v>
      </c>
      <c r="V53" s="126">
        <f ca="1">OFFSET(IND!Y$25,$E53,0)</f>
        <v>2.5227931848895233</v>
      </c>
      <c r="W53" s="126">
        <f ca="1">OFFSET(IND!Z$25,$E53,0)</f>
        <v>2.5918149952957958</v>
      </c>
      <c r="X53" s="126">
        <f ca="1">OFFSET(IND!AA$25,$E53,0)</f>
        <v>2.6617570965074853</v>
      </c>
      <c r="Y53" s="205">
        <f ca="1">OFFSET(IND!AB$25,$E53,0)</f>
        <v>2.7334477502494665</v>
      </c>
      <c r="Z53" s="126">
        <f ca="1">OFFSET(IND!AC$25,$E53,0)</f>
        <v>2.8127768176764087</v>
      </c>
      <c r="AA53" s="126">
        <f ca="1">OFFSET(IND!AD$25,$E53,0)</f>
        <v>2.8888848672843919</v>
      </c>
      <c r="AB53" s="126">
        <f ca="1">OFFSET(IND!AE$25,$E53,0)</f>
        <v>2.973091475980044</v>
      </c>
      <c r="AC53" s="126">
        <f ca="1">OFFSET(IND!AF$25,$E53,0)</f>
        <v>3.0633720039914478</v>
      </c>
      <c r="AD53" s="126">
        <f ca="1">OFFSET(IND!AG$25,$E53,0)</f>
        <v>3.1590822477548119</v>
      </c>
      <c r="AE53" s="126">
        <f ca="1">OFFSET(IND!AH$25,$E53,0)</f>
        <v>3.2586577129009275</v>
      </c>
      <c r="AF53" s="126">
        <f ca="1">OFFSET(IND!AI$25,$E53,0)</f>
        <v>3.3618223121881696</v>
      </c>
      <c r="AG53" s="126">
        <f ca="1">OFFSET(IND!AJ$25,$E53,0)</f>
        <v>3.4659992313613697</v>
      </c>
      <c r="AH53" s="126">
        <f ca="1">OFFSET(IND!AK$25,$E53,0)</f>
        <v>3.5740413719173216</v>
      </c>
      <c r="AI53" s="126">
        <f ca="1">OFFSET(IND!AL$25,$E53,0)</f>
        <v>3.6884335190306508</v>
      </c>
      <c r="AJ53" s="126">
        <f ca="1">OFFSET(IND!AM$25,$E53,0)</f>
        <v>4.3229740293656471</v>
      </c>
      <c r="AK53" s="126">
        <f ca="1">OFFSET(IND!AN$25,$E53,0)</f>
        <v>5.1234429719173225</v>
      </c>
      <c r="AL53" s="126">
        <f ca="1">OFFSET(IND!AO$25,$E53,0)</f>
        <v>6.5307976861012191</v>
      </c>
      <c r="AM53" s="126">
        <f ca="1">OFFSET(IND!AP$25,$E53,0)</f>
        <v>7.9658071389878602</v>
      </c>
      <c r="AQ53" s="4"/>
    </row>
    <row r="54" spans="1:43">
      <c r="A54" s="35" t="s">
        <v>354</v>
      </c>
      <c r="B54">
        <v>0.43799389606880001</v>
      </c>
      <c r="E54" s="129">
        <f ca="1">MATCH(F54,IND!$D$26:$D$255,0)</f>
        <v>216</v>
      </c>
      <c r="F54" s="4" t="str">
        <f t="shared" si="0"/>
        <v>IOTE</v>
      </c>
      <c r="G54" s="126">
        <f ca="1">OFFSET(IND!J$25,$E54,0)</f>
        <v>0.41264064265496897</v>
      </c>
      <c r="H54" s="126">
        <f ca="1">OFFSET(IND!K$25,$E54,0)</f>
        <v>0.42338156469095606</v>
      </c>
      <c r="I54" s="126">
        <f ca="1">OFFSET(IND!L$25,$E54,0)</f>
        <v>0.43042536674391985</v>
      </c>
      <c r="J54" s="126">
        <f ca="1">OFFSET(IND!M$25,$E54,0)</f>
        <v>0.22371068160000002</v>
      </c>
      <c r="K54" s="126">
        <f ca="1">OFFSET(IND!N$25,$E54,0)</f>
        <v>0.22371068160000002</v>
      </c>
      <c r="L54" s="126">
        <f ca="1">OFFSET(IND!O$25,$E54,0)</f>
        <v>0.22371068160000002</v>
      </c>
      <c r="M54" s="126">
        <f ca="1">OFFSET(IND!P$25,$E54,0)</f>
        <v>0.22565953524504639</v>
      </c>
      <c r="N54" s="126">
        <f ca="1">OFFSET(IND!Q$25,$E54,0)</f>
        <v>0.22559752626543128</v>
      </c>
      <c r="O54" s="203">
        <f ca="1">OFFSET(IND!R$25,$E54,0)</f>
        <v>0.20395639237975771</v>
      </c>
      <c r="P54" s="126">
        <f ca="1">OFFSET(IND!S$25,$E54,0)</f>
        <v>0.20967007693000717</v>
      </c>
      <c r="Q54" s="126">
        <f ca="1">OFFSET(IND!T$25,$E54,0)</f>
        <v>0.21489654806899502</v>
      </c>
      <c r="R54" s="126">
        <f ca="1">OFFSET(IND!U$25,$E54,0)</f>
        <v>0.21998128439743411</v>
      </c>
      <c r="S54" s="126">
        <f ca="1">OFFSET(IND!V$25,$E54,0)</f>
        <v>0.22485341851004997</v>
      </c>
      <c r="T54" s="203">
        <f ca="1">OFFSET(IND!W$25,$E54,0)</f>
        <v>0.22997358854112623</v>
      </c>
      <c r="U54" s="126">
        <f ca="1">OFFSET(IND!X$25,$E54,0)</f>
        <v>0.23644909769807562</v>
      </c>
      <c r="V54" s="126">
        <f ca="1">OFFSET(IND!Y$25,$E54,0)</f>
        <v>0.24283602259843198</v>
      </c>
      <c r="W54" s="126">
        <f ca="1">OFFSET(IND!Z$25,$E54,0)</f>
        <v>0.24947984184290814</v>
      </c>
      <c r="X54" s="126">
        <f ca="1">OFFSET(IND!AA$25,$E54,0)</f>
        <v>0.2562122453439773</v>
      </c>
      <c r="Y54" s="205">
        <f ca="1">OFFSET(IND!AB$25,$E54,0)</f>
        <v>0.26311295893257314</v>
      </c>
      <c r="Z54" s="126">
        <f ca="1">OFFSET(IND!AC$25,$E54,0)</f>
        <v>0.27074892185089106</v>
      </c>
      <c r="AA54" s="126">
        <f ca="1">OFFSET(IND!AD$25,$E54,0)</f>
        <v>0.27807483987113346</v>
      </c>
      <c r="AB54" s="126">
        <f ca="1">OFFSET(IND!AE$25,$E54,0)</f>
        <v>0.28618029934939432</v>
      </c>
      <c r="AC54" s="126">
        <f ca="1">OFFSET(IND!AF$25,$E54,0)</f>
        <v>0.29487041492116906</v>
      </c>
      <c r="AD54" s="126">
        <f ca="1">OFFSET(IND!AG$25,$E54,0)</f>
        <v>0.30408317760684261</v>
      </c>
      <c r="AE54" s="126">
        <f ca="1">OFFSET(IND!AH$25,$E54,0)</f>
        <v>0.31366799417020685</v>
      </c>
      <c r="AF54" s="126">
        <f ca="1">OFFSET(IND!AI$25,$E54,0)</f>
        <v>0.32359828933428386</v>
      </c>
      <c r="AG54" s="126">
        <f ca="1">OFFSET(IND!AJ$25,$E54,0)</f>
        <v>0.33362602718061313</v>
      </c>
      <c r="AH54" s="126">
        <f ca="1">OFFSET(IND!AK$25,$E54,0)</f>
        <v>0.34402581890463313</v>
      </c>
      <c r="AI54" s="126">
        <f ca="1">OFFSET(IND!AL$25,$E54,0)</f>
        <v>0.35503684199914493</v>
      </c>
      <c r="AJ54" s="126">
        <f ca="1">OFFSET(IND!AM$25,$E54,0)</f>
        <v>0.41611568692002876</v>
      </c>
      <c r="AK54" s="126">
        <f ca="1">OFFSET(IND!AN$25,$E54,0)</f>
        <v>0.49316627330463325</v>
      </c>
      <c r="AL54" s="126">
        <f ca="1">OFFSET(IND!AO$25,$E54,0)</f>
        <v>0.62863374769950187</v>
      </c>
      <c r="AM54" s="126">
        <f ca="1">OFFSET(IND!AP$25,$E54,0)</f>
        <v>0.76676317900498725</v>
      </c>
      <c r="AQ54" s="4"/>
    </row>
    <row r="55" spans="1:43">
      <c r="A55" s="35" t="s">
        <v>355</v>
      </c>
      <c r="B55">
        <v>1.959977536374</v>
      </c>
      <c r="E55" s="129">
        <f ca="1">MATCH(F55,IND!$D$26:$D$255,0)</f>
        <v>214</v>
      </c>
      <c r="F55" s="4" t="str">
        <f t="shared" si="0"/>
        <v>IOTF</v>
      </c>
      <c r="G55" s="126">
        <f ca="1">OFFSET(IND!J$25,$E55,0)</f>
        <v>1.8465243407674456</v>
      </c>
      <c r="H55" s="126">
        <f ca="1">OFFSET(IND!K$25,$E55,0)</f>
        <v>1.8945888597012226</v>
      </c>
      <c r="I55" s="126">
        <f ca="1">OFFSET(IND!L$25,$E55,0)</f>
        <v>1.9261091478111381</v>
      </c>
      <c r="J55" s="126">
        <f ca="1">OFFSET(IND!M$25,$E55,0)</f>
        <v>1.0010822400000001</v>
      </c>
      <c r="K55" s="126">
        <f ca="1">OFFSET(IND!N$25,$E55,0)</f>
        <v>1.0010822400000001</v>
      </c>
      <c r="L55" s="126">
        <f ca="1">OFFSET(IND!O$25,$E55,0)</f>
        <v>1.0010822400000001</v>
      </c>
      <c r="M55" s="126">
        <f ca="1">OFFSET(IND!P$25,$E55,0)</f>
        <v>1.0098031591732006</v>
      </c>
      <c r="N55" s="126">
        <f ca="1">OFFSET(IND!Q$25,$E55,0)</f>
        <v>1.009525675381326</v>
      </c>
      <c r="O55" s="203">
        <f ca="1">OFFSET(IND!R$25,$E55,0)</f>
        <v>0.91268383201710646</v>
      </c>
      <c r="P55" s="126">
        <f ca="1">OFFSET(IND!S$25,$E55,0)</f>
        <v>0.93825198141126176</v>
      </c>
      <c r="Q55" s="126">
        <f ca="1">OFFSET(IND!T$25,$E55,0)</f>
        <v>0.96163990101211705</v>
      </c>
      <c r="R55" s="126">
        <f ca="1">OFFSET(IND!U$25,$E55,0)</f>
        <v>0.98439357194583066</v>
      </c>
      <c r="S55" s="126">
        <f ca="1">OFFSET(IND!V$25,$E55,0)</f>
        <v>1.0061958698788316</v>
      </c>
      <c r="T55" s="203">
        <f ca="1">OFFSET(IND!W$25,$E55,0)</f>
        <v>1.0291081029793305</v>
      </c>
      <c r="U55" s="126">
        <f ca="1">OFFSET(IND!X$25,$E55,0)</f>
        <v>1.0580853389593732</v>
      </c>
      <c r="V55" s="126">
        <f ca="1">OFFSET(IND!Y$25,$E55,0)</f>
        <v>1.0866661695224522</v>
      </c>
      <c r="W55" s="126">
        <f ca="1">OFFSET(IND!Z$25,$E55,0)</f>
        <v>1.1163965757947261</v>
      </c>
      <c r="X55" s="126">
        <f ca="1">OFFSET(IND!AA$25,$E55,0)</f>
        <v>1.1465233874839633</v>
      </c>
      <c r="Y55" s="205">
        <f ca="1">OFFSET(IND!AB$25,$E55,0)</f>
        <v>1.1774033694654316</v>
      </c>
      <c r="Z55" s="126">
        <f ca="1">OFFSET(IND!AC$25,$E55,0)</f>
        <v>1.2115735164076982</v>
      </c>
      <c r="AA55" s="126">
        <f ca="1">OFFSET(IND!AD$25,$E55,0)</f>
        <v>1.2443562443905922</v>
      </c>
      <c r="AB55" s="126">
        <f ca="1">OFFSET(IND!AE$25,$E55,0)</f>
        <v>1.2806273400427661</v>
      </c>
      <c r="AC55" s="126">
        <f ca="1">OFFSET(IND!AF$25,$E55,0)</f>
        <v>1.3195147114469001</v>
      </c>
      <c r="AD55" s="126">
        <f ca="1">OFFSET(IND!AG$25,$E55,0)</f>
        <v>1.3607408748111196</v>
      </c>
      <c r="AE55" s="126">
        <f ca="1">OFFSET(IND!AH$25,$E55,0)</f>
        <v>1.4036319409265865</v>
      </c>
      <c r="AF55" s="126">
        <f ca="1">OFFSET(IND!AI$25,$E55,0)</f>
        <v>1.4480689881682116</v>
      </c>
      <c r="AG55" s="126">
        <f ca="1">OFFSET(IND!AJ$25,$E55,0)</f>
        <v>1.4929420813684966</v>
      </c>
      <c r="AH55" s="126">
        <f ca="1">OFFSET(IND!AK$25,$E55,0)</f>
        <v>1.5394800773200292</v>
      </c>
      <c r="AI55" s="126">
        <f ca="1">OFFSET(IND!AL$25,$E55,0)</f>
        <v>1.5887532706486109</v>
      </c>
      <c r="AJ55" s="126">
        <f ca="1">OFFSET(IND!AM$25,$E55,0)</f>
        <v>1.8620748056450473</v>
      </c>
      <c r="AK55" s="126">
        <f ca="1">OFFSET(IND!AN$25,$E55,0)</f>
        <v>2.2068682373200299</v>
      </c>
      <c r="AL55" s="126">
        <f ca="1">OFFSET(IND!AO$25,$E55,0)</f>
        <v>2.8130712212116928</v>
      </c>
      <c r="AM55" s="126">
        <f ca="1">OFFSET(IND!AP$25,$E55,0)</f>
        <v>3.4311861878830983</v>
      </c>
      <c r="AQ55" s="4"/>
    </row>
    <row r="56" spans="1:43">
      <c r="A56" s="35" t="s">
        <v>356</v>
      </c>
      <c r="B56">
        <v>3.382156358499</v>
      </c>
      <c r="E56" s="129">
        <f ca="1">MATCH(F56,IND!$D$26:$D$255,0)</f>
        <v>212</v>
      </c>
      <c r="F56" s="4" t="str">
        <f t="shared" si="0"/>
        <v>IOTH</v>
      </c>
      <c r="G56" s="126">
        <f ca="1">OFFSET(IND!J$25,$E56,0)</f>
        <v>3.1863804172999206</v>
      </c>
      <c r="H56" s="126">
        <f ca="1">OFFSET(IND!K$25,$E56,0)</f>
        <v>3.269321020094182</v>
      </c>
      <c r="I56" s="126">
        <f ca="1">OFFSET(IND!L$25,$E56,0)</f>
        <v>3.3237127367716583</v>
      </c>
      <c r="J56" s="126">
        <f ca="1">OFFSET(IND!M$25,$E56,0)</f>
        <v>1.7274772800000002</v>
      </c>
      <c r="K56" s="126">
        <f ca="1">OFFSET(IND!N$25,$E56,0)</f>
        <v>1.7274772800000002</v>
      </c>
      <c r="L56" s="126">
        <f ca="1">OFFSET(IND!O$25,$E56,0)</f>
        <v>1.7274772800000002</v>
      </c>
      <c r="M56" s="126">
        <f ca="1">OFFSET(IND!P$25,$E56,0)</f>
        <v>1.7425261832074133</v>
      </c>
      <c r="N56" s="126">
        <f ca="1">OFFSET(IND!Q$25,$E56,0)</f>
        <v>1.7420473544689956</v>
      </c>
      <c r="O56" s="203">
        <f ca="1">OFFSET(IND!R$25,$E56,0)</f>
        <v>1.5749361247612266</v>
      </c>
      <c r="P56" s="126">
        <f ca="1">OFFSET(IND!S$25,$E56,0)</f>
        <v>1.6190567728011409</v>
      </c>
      <c r="Q56" s="126">
        <f ca="1">OFFSET(IND!T$25,$E56,0)</f>
        <v>1.6594151950392022</v>
      </c>
      <c r="R56" s="126">
        <f ca="1">OFFSET(IND!U$25,$E56,0)</f>
        <v>1.6986791515894519</v>
      </c>
      <c r="S56" s="126">
        <f ca="1">OFFSET(IND!V$25,$E56,0)</f>
        <v>1.7363014096079838</v>
      </c>
      <c r="T56" s="203">
        <f ca="1">OFFSET(IND!W$25,$E56,0)</f>
        <v>1.7758389825801864</v>
      </c>
      <c r="U56" s="126">
        <f ca="1">OFFSET(IND!X$25,$E56,0)</f>
        <v>1.8258423836920894</v>
      </c>
      <c r="V56" s="126">
        <f ca="1">OFFSET(IND!Y$25,$E56,0)</f>
        <v>1.8751617437491099</v>
      </c>
      <c r="W56" s="126">
        <f ca="1">OFFSET(IND!Z$25,$E56,0)</f>
        <v>1.9264648228652896</v>
      </c>
      <c r="X56" s="126">
        <f ca="1">OFFSET(IND!AA$25,$E56,0)</f>
        <v>1.9784519430363516</v>
      </c>
      <c r="Y56" s="205">
        <f ca="1">OFFSET(IND!AB$25,$E56,0)</f>
        <v>2.0317387412116901</v>
      </c>
      <c r="Z56" s="126">
        <f ca="1">OFFSET(IND!AC$25,$E56,0)</f>
        <v>2.0907030801425526</v>
      </c>
      <c r="AA56" s="126">
        <f ca="1">OFFSET(IND!AD$25,$E56,0)</f>
        <v>2.1472732753813268</v>
      </c>
      <c r="AB56" s="126">
        <f ca="1">OFFSET(IND!AE$25,$E56,0)</f>
        <v>2.2098630319030659</v>
      </c>
      <c r="AC56" s="126">
        <f ca="1">OFFSET(IND!AF$25,$E56,0)</f>
        <v>2.2769674593870288</v>
      </c>
      <c r="AD56" s="126">
        <f ca="1">OFFSET(IND!AG$25,$E56,0)</f>
        <v>2.348107729094798</v>
      </c>
      <c r="AE56" s="126">
        <f ca="1">OFFSET(IND!AH$25,$E56,0)</f>
        <v>2.4221209712330736</v>
      </c>
      <c r="AF56" s="126">
        <f ca="1">OFFSET(IND!AI$25,$E56,0)</f>
        <v>2.4988019734853903</v>
      </c>
      <c r="AG56" s="126">
        <f ca="1">OFFSET(IND!AJ$25,$E56,0)</f>
        <v>2.5762354208980773</v>
      </c>
      <c r="AH56" s="126">
        <f ca="1">OFFSET(IND!AK$25,$E56,0)</f>
        <v>2.6565418407412706</v>
      </c>
      <c r="AI56" s="126">
        <f ca="1">OFFSET(IND!AL$25,$E56,0)</f>
        <v>2.7415681438631525</v>
      </c>
      <c r="AJ56" s="126">
        <f ca="1">OFFSET(IND!AM$25,$E56,0)</f>
        <v>3.2132144512045642</v>
      </c>
      <c r="AK56" s="126">
        <f ca="1">OFFSET(IND!AN$25,$E56,0)</f>
        <v>3.8081933607412717</v>
      </c>
      <c r="AL56" s="126">
        <f ca="1">OFFSET(IND!AO$25,$E56,0)</f>
        <v>4.8542631439201775</v>
      </c>
      <c r="AM56" s="126">
        <f ca="1">OFFSET(IND!AP$25,$E56,0)</f>
        <v>5.9208883607982736</v>
      </c>
      <c r="AQ56" s="4"/>
    </row>
    <row r="57" spans="1:43">
      <c r="A57" s="35" t="s">
        <v>357</v>
      </c>
      <c r="B57">
        <v>4.2714054259280001</v>
      </c>
      <c r="E57" s="129">
        <f ca="1">MATCH(F57,IND!$D$26:$D$255,0)</f>
        <v>208</v>
      </c>
      <c r="F57" s="4" t="str">
        <f t="shared" si="0"/>
        <v>IOTK</v>
      </c>
      <c r="G57" s="126">
        <f ca="1">OFFSET(IND!J$25,$E57,0)</f>
        <v>4.0241553496851505</v>
      </c>
      <c r="H57" s="126">
        <f ca="1">OFFSET(IND!K$25,$E57,0)</f>
        <v>4.1289030027364033</v>
      </c>
      <c r="I57" s="126">
        <f ca="1">OFFSET(IND!L$25,$E57,0)</f>
        <v>4.1975955908711562</v>
      </c>
      <c r="J57" s="126">
        <f ca="1">OFFSET(IND!M$25,$E57,0)</f>
        <v>2.1816720000000003</v>
      </c>
      <c r="K57" s="126">
        <f ca="1">OFFSET(IND!N$25,$E57,0)</f>
        <v>2.1816720000000003</v>
      </c>
      <c r="L57" s="126">
        <f ca="1">OFFSET(IND!O$25,$E57,0)</f>
        <v>2.1816720000000003</v>
      </c>
      <c r="M57" s="126">
        <f ca="1">OFFSET(IND!P$25,$E57,0)</f>
        <v>2.2006776165359949</v>
      </c>
      <c r="N57" s="126">
        <f ca="1">OFFSET(IND!Q$25,$E57,0)</f>
        <v>2.2000728923734858</v>
      </c>
      <c r="O57" s="203">
        <f ca="1">OFFSET(IND!R$25,$E57,0)</f>
        <v>1.9890241596578764</v>
      </c>
      <c r="P57" s="126">
        <f ca="1">OFFSET(IND!S$25,$E57,0)</f>
        <v>2.0447451717747684</v>
      </c>
      <c r="Q57" s="126">
        <f ca="1">OFFSET(IND!T$25,$E57,0)</f>
        <v>2.0957147797576621</v>
      </c>
      <c r="R57" s="126">
        <f ca="1">OFFSET(IND!U$25,$E57,0)</f>
        <v>2.1453021610833929</v>
      </c>
      <c r="S57" s="126">
        <f ca="1">OFFSET(IND!V$25,$E57,0)</f>
        <v>2.192816202423379</v>
      </c>
      <c r="T57" s="203">
        <f ca="1">OFFSET(IND!W$25,$E57,0)</f>
        <v>2.2427491404134003</v>
      </c>
      <c r="U57" s="126">
        <f ca="1">OFFSET(IND!X$25,$E57,0)</f>
        <v>2.3058996208125451</v>
      </c>
      <c r="V57" s="126">
        <f ca="1">OFFSET(IND!Y$25,$E57,0)</f>
        <v>2.3681862095509625</v>
      </c>
      <c r="W57" s="126">
        <f ca="1">OFFSET(IND!Z$25,$E57,0)</f>
        <v>2.4329780841054887</v>
      </c>
      <c r="X57" s="126">
        <f ca="1">OFFSET(IND!AA$25,$E57,0)</f>
        <v>2.4986338503207417</v>
      </c>
      <c r="Y57" s="205">
        <f ca="1">OFFSET(IND!AB$25,$E57,0)</f>
        <v>2.5659310106913757</v>
      </c>
      <c r="Z57" s="126">
        <f ca="1">OFFSET(IND!AC$25,$E57,0)</f>
        <v>2.6403984718460443</v>
      </c>
      <c r="AA57" s="126">
        <f ca="1">OFFSET(IND!AD$25,$E57,0)</f>
        <v>2.7118423121881685</v>
      </c>
      <c r="AB57" s="126">
        <f ca="1">OFFSET(IND!AE$25,$E57,0)</f>
        <v>2.79088839914469</v>
      </c>
      <c r="AC57" s="126">
        <f ca="1">OFFSET(IND!AF$25,$E57,0)</f>
        <v>2.87563617106201</v>
      </c>
      <c r="AD57" s="126">
        <f ca="1">OFFSET(IND!AG$25,$E57,0)</f>
        <v>2.9654809037776193</v>
      </c>
      <c r="AE57" s="126">
        <f ca="1">OFFSET(IND!AH$25,$E57,0)</f>
        <v>3.0589539814682825</v>
      </c>
      <c r="AF57" s="126">
        <f ca="1">OFFSET(IND!AI$25,$E57,0)</f>
        <v>3.1557962366357808</v>
      </c>
      <c r="AG57" s="126">
        <f ca="1">OFFSET(IND!AJ$25,$E57,0)</f>
        <v>3.2535887726300783</v>
      </c>
      <c r="AH57" s="126">
        <f ca="1">OFFSET(IND!AK$25,$E57,0)</f>
        <v>3.35500965359943</v>
      </c>
      <c r="AI57" s="126">
        <f ca="1">OFFSET(IND!AL$25,$E57,0)</f>
        <v>3.462391387027798</v>
      </c>
      <c r="AJ57" s="126">
        <f ca="1">OFFSET(IND!AM$25,$E57,0)</f>
        <v>4.0580446870990743</v>
      </c>
      <c r="AK57" s="126">
        <f ca="1">OFFSET(IND!AN$25,$E57,0)</f>
        <v>4.8094576535994307</v>
      </c>
      <c r="AL57" s="126">
        <f ca="1">OFFSET(IND!AO$25,$E57,0)</f>
        <v>6.1305639757662203</v>
      </c>
      <c r="AM57" s="126">
        <f ca="1">OFFSET(IND!AP$25,$E57,0)</f>
        <v>7.477630242337824</v>
      </c>
      <c r="AQ57" s="4"/>
    </row>
    <row r="58" spans="1:43">
      <c r="A58" s="35" t="s">
        <v>358</v>
      </c>
      <c r="B58">
        <v>1.0716137343180001</v>
      </c>
      <c r="E58" s="129">
        <f ca="1">MATCH(F58,IND!$D$26:$D$255,0)</f>
        <v>210</v>
      </c>
      <c r="F58" s="4" t="str">
        <f t="shared" si="0"/>
        <v>IOTL</v>
      </c>
      <c r="G58" s="126">
        <f ca="1">OFFSET(IND!J$25,$E58,0)</f>
        <v>1.0095834302163471</v>
      </c>
      <c r="H58" s="126">
        <f ca="1">OFFSET(IND!K$25,$E58,0)</f>
        <v>1.0358626082512781</v>
      </c>
      <c r="I58" s="126">
        <f ca="1">OFFSET(IND!L$25,$E58,0)</f>
        <v>1.0530962617097481</v>
      </c>
      <c r="J58" s="126">
        <f ca="1">OFFSET(IND!M$25,$E58,0)</f>
        <v>0.54733968</v>
      </c>
      <c r="K58" s="126">
        <f ca="1">OFFSET(IND!N$25,$E58,0)</f>
        <v>0.54733968</v>
      </c>
      <c r="L58" s="126">
        <f ca="1">OFFSET(IND!O$25,$E58,0)</f>
        <v>0.54733968</v>
      </c>
      <c r="M58" s="126">
        <f ca="1">OFFSET(IND!P$25,$E58,0)</f>
        <v>0.55210782483250187</v>
      </c>
      <c r="N58" s="126">
        <f ca="1">OFFSET(IND!Q$25,$E58,0)</f>
        <v>0.55195611113328591</v>
      </c>
      <c r="O58" s="203">
        <f ca="1">OFFSET(IND!R$25,$E58,0)</f>
        <v>0.49900803010691386</v>
      </c>
      <c r="P58" s="126">
        <f ca="1">OFFSET(IND!S$25,$E58,0)</f>
        <v>0.5129873638203849</v>
      </c>
      <c r="Q58" s="126">
        <f ca="1">OFFSET(IND!T$25,$E58,0)</f>
        <v>0.52577466132573059</v>
      </c>
      <c r="R58" s="126">
        <f ca="1">OFFSET(IND!U$25,$E58,0)</f>
        <v>0.5382151846614398</v>
      </c>
      <c r="S58" s="126">
        <f ca="1">OFFSET(IND!V$25,$E58,0)</f>
        <v>0.55013554674269427</v>
      </c>
      <c r="T58" s="203">
        <f ca="1">OFFSET(IND!W$25,$E58,0)</f>
        <v>0.56266276362081258</v>
      </c>
      <c r="U58" s="126">
        <f ca="1">OFFSET(IND!X$25,$E58,0)</f>
        <v>0.5785060084960798</v>
      </c>
      <c r="V58" s="126">
        <f ca="1">OFFSET(IND!Y$25,$E58,0)</f>
        <v>0.5941325195153242</v>
      </c>
      <c r="W58" s="126">
        <f ca="1">OFFSET(IND!Z$25,$E58,0)</f>
        <v>0.61038755871703487</v>
      </c>
      <c r="X58" s="126">
        <f ca="1">OFFSET(IND!AA$25,$E58,0)</f>
        <v>0.62685933177476827</v>
      </c>
      <c r="Y58" s="205">
        <f ca="1">OFFSET(IND!AB$25,$E58,0)</f>
        <v>0.643742899158945</v>
      </c>
      <c r="Z58" s="126">
        <f ca="1">OFFSET(IND!AC$25,$E58,0)</f>
        <v>0.66242535754811105</v>
      </c>
      <c r="AA58" s="126">
        <f ca="1">OFFSET(IND!AD$25,$E58,0)</f>
        <v>0.6803492474411974</v>
      </c>
      <c r="AB58" s="126">
        <f ca="1">OFFSET(IND!AE$25,$E58,0)</f>
        <v>0.70018039526728437</v>
      </c>
      <c r="AC58" s="126">
        <f ca="1">OFFSET(IND!AF$25,$E58,0)</f>
        <v>0.72144198654312175</v>
      </c>
      <c r="AD58" s="126">
        <f ca="1">OFFSET(IND!AG$25,$E58,0)</f>
        <v>0.74398230756949379</v>
      </c>
      <c r="AE58" s="126">
        <f ca="1">OFFSET(IND!AH$25,$E58,0)</f>
        <v>0.76743291079116172</v>
      </c>
      <c r="AF58" s="126">
        <f ca="1">OFFSET(IND!AI$25,$E58,0)</f>
        <v>0.79172877605131853</v>
      </c>
      <c r="AG58" s="126">
        <f ca="1">OFFSET(IND!AJ$25,$E58,0)</f>
        <v>0.81626304855310039</v>
      </c>
      <c r="AH58" s="126">
        <f ca="1">OFFSET(IND!AK$25,$E58,0)</f>
        <v>0.84170760325017813</v>
      </c>
      <c r="AI58" s="126">
        <f ca="1">OFFSET(IND!AL$25,$E58,0)</f>
        <v>0.86864762155381325</v>
      </c>
      <c r="AJ58" s="126">
        <f ca="1">OFFSET(IND!AM$25,$E58,0)</f>
        <v>1.0180856152815396</v>
      </c>
      <c r="AK58" s="126">
        <f ca="1">OFFSET(IND!AN$25,$E58,0)</f>
        <v>1.2066007232501783</v>
      </c>
      <c r="AL58" s="126">
        <f ca="1">OFFSET(IND!AO$25,$E58,0)</f>
        <v>1.5380409725730588</v>
      </c>
      <c r="AM58" s="126">
        <f ca="1">OFFSET(IND!AP$25,$E58,0)</f>
        <v>1.8759940742694166</v>
      </c>
      <c r="AQ58" s="4"/>
    </row>
    <row r="59" spans="1:43">
      <c r="A59" s="35" t="s">
        <v>359</v>
      </c>
      <c r="B59">
        <v>13.06049710462</v>
      </c>
      <c r="E59" s="129">
        <f ca="1">MATCH(F59,IND!$D$26:$D$255,0)</f>
        <v>215</v>
      </c>
      <c r="F59" s="4" t="str">
        <f t="shared" si="0"/>
        <v>IOTO</v>
      </c>
      <c r="G59" s="126">
        <f ca="1">OFFSET(IND!J$25,$E59,0)</f>
        <v>12.304490923310874</v>
      </c>
      <c r="H59" s="126">
        <f ca="1">OFFSET(IND!K$25,$E59,0)</f>
        <v>12.624773425900665</v>
      </c>
      <c r="I59" s="126">
        <f ca="1">OFFSET(IND!L$25,$E59,0)</f>
        <v>12.834811869687117</v>
      </c>
      <c r="J59" s="126">
        <f ca="1">OFFSET(IND!M$25,$E59,0)</f>
        <v>6.6708069120000006</v>
      </c>
      <c r="K59" s="126">
        <f ca="1">OFFSET(IND!N$25,$E59,0)</f>
        <v>6.6708069120000006</v>
      </c>
      <c r="L59" s="126">
        <f ca="1">OFFSET(IND!O$25,$E59,0)</f>
        <v>6.6708069120000006</v>
      </c>
      <c r="M59" s="126">
        <f ca="1">OFFSET(IND!P$25,$E59,0)</f>
        <v>6.7289195880370656</v>
      </c>
      <c r="N59" s="126">
        <f ca="1">OFFSET(IND!Q$25,$E59,0)</f>
        <v>6.7270705483449769</v>
      </c>
      <c r="O59" s="203">
        <f ca="1">OFFSET(IND!R$25,$E59,0)</f>
        <v>6.0817556958061312</v>
      </c>
      <c r="P59" s="126">
        <f ca="1">OFFSET(IND!S$25,$E59,0)</f>
        <v>6.2521314960057026</v>
      </c>
      <c r="Q59" s="126">
        <f ca="1">OFFSET(IND!T$25,$E59,0)</f>
        <v>6.4079791271960085</v>
      </c>
      <c r="R59" s="126">
        <f ca="1">OFFSET(IND!U$25,$E59,0)</f>
        <v>6.5596003819472566</v>
      </c>
      <c r="S59" s="126">
        <f ca="1">OFFSET(IND!V$25,$E59,0)</f>
        <v>6.7048820720399158</v>
      </c>
      <c r="T59" s="203">
        <f ca="1">OFFSET(IND!W$25,$E59,0)</f>
        <v>6.8575599209009281</v>
      </c>
      <c r="U59" s="126">
        <f ca="1">OFFSET(IND!X$25,$E59,0)</f>
        <v>7.0506524944604427</v>
      </c>
      <c r="V59" s="126">
        <f ca="1">OFFSET(IND!Y$25,$E59,0)</f>
        <v>7.241103582745545</v>
      </c>
      <c r="W59" s="126">
        <f ca="1">OFFSET(IND!Z$25,$E59,0)</f>
        <v>7.4392149783264436</v>
      </c>
      <c r="X59" s="126">
        <f ca="1">OFFSET(IND!AA$25,$E59,0)</f>
        <v>7.6399678591817537</v>
      </c>
      <c r="Y59" s="205">
        <f ca="1">OFFSET(IND!AB$25,$E59,0)</f>
        <v>7.845739562058446</v>
      </c>
      <c r="Z59" s="126">
        <f ca="1">OFFSET(IND!AC$25,$E59,0)</f>
        <v>8.0734355927127588</v>
      </c>
      <c r="AA59" s="126">
        <f ca="1">OFFSET(IND!AD$25,$E59,0)</f>
        <v>8.2918864249066306</v>
      </c>
      <c r="AB59" s="126">
        <f ca="1">OFFSET(IND!AE$25,$E59,0)</f>
        <v>8.533582327515326</v>
      </c>
      <c r="AC59" s="126">
        <f ca="1">OFFSET(IND!AF$25,$E59,0)</f>
        <v>8.7927120329351407</v>
      </c>
      <c r="AD59" s="126">
        <f ca="1">OFFSET(IND!AG$25,$E59,0)</f>
        <v>9.0674265014739852</v>
      </c>
      <c r="AE59" s="126">
        <f ca="1">OFFSET(IND!AH$25,$E59,0)</f>
        <v>9.353235208165362</v>
      </c>
      <c r="AF59" s="126">
        <f ca="1">OFFSET(IND!AI$25,$E59,0)</f>
        <v>9.6493457074269458</v>
      </c>
      <c r="AG59" s="126">
        <f ca="1">OFFSET(IND!AJ$25,$E59,0)</f>
        <v>9.9483618404903797</v>
      </c>
      <c r="AH59" s="126">
        <f ca="1">OFFSET(IND!AK$25,$E59,0)</f>
        <v>10.258472211706346</v>
      </c>
      <c r="AI59" s="126">
        <f ca="1">OFFSET(IND!AL$25,$E59,0)</f>
        <v>10.586808831315755</v>
      </c>
      <c r="AJ59" s="126">
        <f ca="1">OFFSET(IND!AM$25,$E59,0)</f>
        <v>12.408112928022812</v>
      </c>
      <c r="AK59" s="126">
        <f ca="1">OFFSET(IND!AN$25,$E59,0)</f>
        <v>14.705676819706348</v>
      </c>
      <c r="AL59" s="126">
        <f ca="1">OFFSET(IND!AO$25,$E59,0)</f>
        <v>18.74516817560087</v>
      </c>
      <c r="AM59" s="126">
        <f ca="1">OFFSET(IND!AP$25,$E59,0)</f>
        <v>22.864036163991376</v>
      </c>
      <c r="AQ59" s="4"/>
    </row>
    <row r="60" spans="1:43">
      <c r="A60" s="35" t="s">
        <v>360</v>
      </c>
      <c r="B60">
        <v>4.6033799408959997</v>
      </c>
      <c r="E60" s="129">
        <f ca="1">MATCH(F60,IND!$D$26:$D$255,0)</f>
        <v>213</v>
      </c>
      <c r="F60" s="4" t="str">
        <f t="shared" si="0"/>
        <v>IOTP</v>
      </c>
      <c r="G60" s="126">
        <f ca="1">OFFSET(IND!J$25,$E60,0)</f>
        <v>4.3369135374845138</v>
      </c>
      <c r="H60" s="126">
        <f ca="1">OFFSET(IND!K$25,$E60,0)</f>
        <v>4.4498021998402679</v>
      </c>
      <c r="I60" s="126">
        <f ca="1">OFFSET(IND!L$25,$E60,0)</f>
        <v>4.5238335901616598</v>
      </c>
      <c r="J60" s="126">
        <f ca="1">OFFSET(IND!M$25,$E60,0)</f>
        <v>2.3512320000000004</v>
      </c>
      <c r="K60" s="126">
        <f ca="1">OFFSET(IND!N$25,$E60,0)</f>
        <v>2.3512320000000004</v>
      </c>
      <c r="L60" s="126">
        <f ca="1">OFFSET(IND!O$25,$E60,0)</f>
        <v>2.3512320000000004</v>
      </c>
      <c r="M60" s="126">
        <f ca="1">OFFSET(IND!P$25,$E60,0)</f>
        <v>2.3717147369921605</v>
      </c>
      <c r="N60" s="126">
        <f ca="1">OFFSET(IND!Q$25,$E60,0)</f>
        <v>2.3710630135424098</v>
      </c>
      <c r="O60" s="203">
        <f ca="1">OFFSET(IND!R$25,$E60,0)</f>
        <v>2.1436115295794731</v>
      </c>
      <c r="P60" s="126">
        <f ca="1">OFFSET(IND!S$25,$E60,0)</f>
        <v>2.2036631903064863</v>
      </c>
      <c r="Q60" s="126">
        <f ca="1">OFFSET(IND!T$25,$E60,0)</f>
        <v>2.2585941667854597</v>
      </c>
      <c r="R60" s="126">
        <f ca="1">OFFSET(IND!U$25,$E60,0)</f>
        <v>2.3120354896650039</v>
      </c>
      <c r="S60" s="126">
        <f ca="1">OFFSET(IND!V$25,$E60,0)</f>
        <v>2.3632423321454032</v>
      </c>
      <c r="T60" s="203">
        <f ca="1">OFFSET(IND!W$25,$E60,0)</f>
        <v>2.4170560684248046</v>
      </c>
      <c r="U60" s="126">
        <f ca="1">OFFSET(IND!X$25,$E60,0)</f>
        <v>2.4851146172487533</v>
      </c>
      <c r="V60" s="126">
        <f ca="1">OFFSET(IND!Y$25,$E60,0)</f>
        <v>2.552242132573058</v>
      </c>
      <c r="W60" s="126">
        <f ca="1">OFFSET(IND!Z$25,$E60,0)</f>
        <v>2.6220696450463299</v>
      </c>
      <c r="X60" s="126">
        <f ca="1">OFFSET(IND!AA$25,$E60,0)</f>
        <v>2.6928281910192449</v>
      </c>
      <c r="Y60" s="205">
        <f ca="1">OFFSET(IND!AB$25,$E60,0)</f>
        <v>2.7653557006414826</v>
      </c>
      <c r="Z60" s="126">
        <f ca="1">OFFSET(IND!AC$25,$E60,0)</f>
        <v>2.8456107883107631</v>
      </c>
      <c r="AA60" s="126">
        <f ca="1">OFFSET(IND!AD$25,$E60,0)</f>
        <v>2.9226072587312908</v>
      </c>
      <c r="AB60" s="126">
        <f ca="1">OFFSET(IND!AE$25,$E60,0)</f>
        <v>3.0077968239486821</v>
      </c>
      <c r="AC60" s="126">
        <f ca="1">OFFSET(IND!AF$25,$E60,0)</f>
        <v>3.099131210263721</v>
      </c>
      <c r="AD60" s="126">
        <f ca="1">OFFSET(IND!AG$25,$E60,0)</f>
        <v>3.1959586942266576</v>
      </c>
      <c r="AE60" s="126">
        <f ca="1">OFFSET(IND!AH$25,$E60,0)</f>
        <v>3.2966965188880977</v>
      </c>
      <c r="AF60" s="126">
        <f ca="1">OFFSET(IND!AI$25,$E60,0)</f>
        <v>3.401065374198148</v>
      </c>
      <c r="AG60" s="126">
        <f ca="1">OFFSET(IND!AJ$25,$E60,0)</f>
        <v>3.5064583663578057</v>
      </c>
      <c r="AH60" s="126">
        <f ca="1">OFFSET(IND!AK$25,$E60,0)</f>
        <v>3.6157616992159674</v>
      </c>
      <c r="AI60" s="126">
        <f ca="1">OFFSET(IND!AL$25,$E60,0)</f>
        <v>3.7314891632216698</v>
      </c>
      <c r="AJ60" s="126">
        <f ca="1">OFFSET(IND!AM$25,$E60,0)</f>
        <v>4.373436761225947</v>
      </c>
      <c r="AK60" s="126">
        <f ca="1">OFFSET(IND!AN$25,$E60,0)</f>
        <v>5.1832496992159687</v>
      </c>
      <c r="AL60" s="126">
        <f ca="1">OFFSET(IND!AO$25,$E60,0)</f>
        <v>6.6070326785459805</v>
      </c>
      <c r="AM60" s="126">
        <f ca="1">OFFSET(IND!AP$25,$E60,0)</f>
        <v>8.0587932145402483</v>
      </c>
      <c r="AQ60" s="4"/>
    </row>
    <row r="61" spans="1:43">
      <c r="A61" s="35" t="s">
        <v>361</v>
      </c>
      <c r="B61">
        <v>109.842732955</v>
      </c>
      <c r="E61" s="129">
        <f ca="1">MATCH(F61,IND!$D$26:$D$255,0)</f>
        <v>218</v>
      </c>
      <c r="F61" s="4" t="str">
        <f t="shared" si="0"/>
        <v>IOTS</v>
      </c>
      <c r="G61" s="126">
        <f ca="1">OFFSET(IND!J$25,$E61,0)</f>
        <v>73.690487252999532</v>
      </c>
      <c r="H61" s="126">
        <f ca="1">OFFSET(IND!K$25,$E61,0)</f>
        <v>75.608630296994804</v>
      </c>
      <c r="I61" s="126">
        <f ca="1">OFFSET(IND!L$25,$E61,0)</f>
        <v>76.866531608065117</v>
      </c>
      <c r="J61" s="126">
        <f ca="1">OFFSET(IND!M$25,$E61,0)</f>
        <v>61.561340800000004</v>
      </c>
      <c r="K61" s="126">
        <f ca="1">OFFSET(IND!N$25,$E61,0)</f>
        <v>61.561340800000004</v>
      </c>
      <c r="L61" s="126">
        <f ca="1">OFFSET(IND!O$25,$E61,0)</f>
        <v>61.561340800000004</v>
      </c>
      <c r="M61" s="126">
        <f ca="1">OFFSET(IND!P$25,$E61,0)</f>
        <v>62.097631881650443</v>
      </c>
      <c r="N61" s="126">
        <f ca="1">OFFSET(IND!Q$25,$E61,0)</f>
        <v>62.080568074507021</v>
      </c>
      <c r="O61" s="203">
        <f ca="1">OFFSET(IND!R$25,$E61,0)</f>
        <v>56.125299381452457</v>
      </c>
      <c r="P61" s="126">
        <f ca="1">OFFSET(IND!S$25,$E61,0)</f>
        <v>57.69760732538213</v>
      </c>
      <c r="Q61" s="126">
        <f ca="1">OFFSET(IND!T$25,$E61,0)</f>
        <v>59.135842498899194</v>
      </c>
      <c r="R61" s="126">
        <f ca="1">OFFSET(IND!U$25,$E61,0)</f>
        <v>60.535074684659875</v>
      </c>
      <c r="S61" s="126">
        <f ca="1">OFFSET(IND!V$25,$E61,0)</f>
        <v>61.875802388785964</v>
      </c>
      <c r="T61" s="203">
        <f ca="1">OFFSET(IND!W$25,$E61,0)</f>
        <v>63.284785321485735</v>
      </c>
      <c r="U61" s="126">
        <f ca="1">OFFSET(IND!X$25,$E61,0)</f>
        <v>65.066734324606031</v>
      </c>
      <c r="V61" s="126">
        <f ca="1">OFFSET(IND!Y$25,$E61,0)</f>
        <v>66.82430646037858</v>
      </c>
      <c r="W61" s="126">
        <f ca="1">OFFSET(IND!Z$25,$E61,0)</f>
        <v>68.652571511459598</v>
      </c>
      <c r="X61" s="126">
        <f ca="1">OFFSET(IND!AA$25,$E61,0)</f>
        <v>70.505213429888357</v>
      </c>
      <c r="Y61" s="205">
        <f ca="1">OFFSET(IND!AB$25,$E61,0)</f>
        <v>72.404171396277832</v>
      </c>
      <c r="Z61" s="126">
        <f ca="1">OFFSET(IND!AC$25,$E61,0)</f>
        <v>74.505457361653612</v>
      </c>
      <c r="AA61" s="126">
        <f ca="1">OFFSET(IND!AD$25,$E61,0)</f>
        <v>76.521424291312286</v>
      </c>
      <c r="AB61" s="126">
        <f ca="1">OFFSET(IND!AE$25,$E61,0)</f>
        <v>78.751907653631122</v>
      </c>
      <c r="AC61" s="126">
        <f ca="1">OFFSET(IND!AF$25,$E61,0)</f>
        <v>81.143278340445079</v>
      </c>
      <c r="AD61" s="126">
        <f ca="1">OFFSET(IND!AG$25,$E61,0)</f>
        <v>83.678472544610756</v>
      </c>
      <c r="AE61" s="126">
        <f ca="1">OFFSET(IND!AH$25,$E61,0)</f>
        <v>86.316049591636968</v>
      </c>
      <c r="AF61" s="126">
        <f ca="1">OFFSET(IND!AI$25,$E61,0)</f>
        <v>89.048696421319406</v>
      </c>
      <c r="AG61" s="126">
        <f ca="1">OFFSET(IND!AJ$25,$E61,0)</f>
        <v>91.808157805084349</v>
      </c>
      <c r="AH61" s="126">
        <f ca="1">OFFSET(IND!AK$25,$E61,0)</f>
        <v>94.670002031709842</v>
      </c>
      <c r="AI61" s="126">
        <f ca="1">OFFSET(IND!AL$25,$E61,0)</f>
        <v>97.700046643034796</v>
      </c>
      <c r="AJ61" s="126">
        <f ca="1">OFFSET(IND!AM$25,$E61,0)</f>
        <v>114.50789667930628</v>
      </c>
      <c r="AK61" s="126">
        <f ca="1">OFFSET(IND!AN$25,$E61,0)</f>
        <v>135.71089589837655</v>
      </c>
      <c r="AL61" s="126">
        <f ca="1">OFFSET(IND!AO$25,$E61,0)</f>
        <v>172.98922028991859</v>
      </c>
      <c r="AM61" s="126">
        <f ca="1">OFFSET(IND!AP$25,$E61,0)</f>
        <v>211.00006954525952</v>
      </c>
      <c r="AQ61" s="4"/>
    </row>
    <row r="62" spans="1:43">
      <c r="A62" s="35" t="s">
        <v>362</v>
      </c>
      <c r="B62">
        <v>9.3435013244270007</v>
      </c>
      <c r="E62" s="128">
        <f>MATCH(F62,RES!$D$96:$D$134,0)</f>
        <v>28</v>
      </c>
      <c r="F62" s="4" t="str">
        <f t="shared" si="0"/>
        <v>RHEH</v>
      </c>
      <c r="G62" s="126">
        <f ca="1">OFFSET(RES!J$95,$E62,0)</f>
        <v>7.0842557645058601</v>
      </c>
      <c r="H62" s="126">
        <f ca="1">OFFSET(RES!K$95,$E62,0)</f>
        <v>7.2302855472935121</v>
      </c>
      <c r="I62" s="126">
        <f ca="1">OFFSET(RES!L$95,$E62,0)</f>
        <v>7.3763153300811641</v>
      </c>
      <c r="J62" s="126">
        <f ca="1">OFFSET(RES!M$95,$E62,0)</f>
        <v>7.5223451128688161</v>
      </c>
      <c r="K62" s="126">
        <f ca="1">OFFSET(RES!N$95,$E62,0)</f>
        <v>7.6683748956564681</v>
      </c>
      <c r="L62" s="126">
        <f ca="1">OFFSET(RES!O$95,$E62,0)</f>
        <v>7.8144046784441201</v>
      </c>
      <c r="M62" s="126">
        <f ca="1">OFFSET(RES!P$95,$E62,0)</f>
        <v>8.0627093316283442</v>
      </c>
      <c r="N62" s="126">
        <f ca="1">OFFSET(RES!Q$95,$E62,0)</f>
        <v>8.1745673087130459</v>
      </c>
      <c r="O62" s="203">
        <f ca="1">OFFSET(RES!R$95,$E62,0)</f>
        <v>7.4135892623673918</v>
      </c>
      <c r="P62" s="126">
        <f ca="1">OFFSET(RES!S$95,$E62,0)</f>
        <v>7.606470261508071</v>
      </c>
      <c r="Q62" s="126">
        <f ca="1">OFFSET(RES!T$95,$E62,0)</f>
        <v>7.8531146877499332</v>
      </c>
      <c r="R62" s="126">
        <f ca="1">OFFSET(RES!U$95,$E62,0)</f>
        <v>8.1168978264462552</v>
      </c>
      <c r="S62" s="126">
        <f ca="1">OFFSET(RES!V$95,$E62,0)</f>
        <v>8.3712575044782476</v>
      </c>
      <c r="T62" s="203">
        <f ca="1">OFFSET(RES!W$95,$E62,0)</f>
        <v>8.6174998483196585</v>
      </c>
      <c r="U62" s="126">
        <f ca="1">OFFSET(RES!X$95,$E62,0)</f>
        <v>8.94447997921589</v>
      </c>
      <c r="V62" s="126">
        <f ca="1">OFFSET(RES!Y$95,$E62,0)</f>
        <v>9.2669063542493451</v>
      </c>
      <c r="W62" s="126">
        <f ca="1">OFFSET(RES!Z$95,$E62,0)</f>
        <v>9.6026860149284694</v>
      </c>
      <c r="X62" s="126">
        <f ca="1">OFFSET(RES!AA$95,$E62,0)</f>
        <v>9.9822054590376741</v>
      </c>
      <c r="Y62" s="205">
        <f ca="1">OFFSET(RES!AB$95,$E62,0)</f>
        <v>10.317270981989159</v>
      </c>
      <c r="Z62" s="126">
        <f ca="1">OFFSET(RES!AC$95,$E62,0)</f>
        <v>10.692935721541447</v>
      </c>
      <c r="AA62" s="126">
        <f ca="1">OFFSET(RES!AD$95,$E62,0)</f>
        <v>11.023650021864391</v>
      </c>
      <c r="AB62" s="126">
        <f ca="1">OFFSET(RES!AE$95,$E62,0)</f>
        <v>11.388057849469151</v>
      </c>
      <c r="AC62" s="126">
        <f ca="1">OFFSET(RES!AF$95,$E62,0)</f>
        <v>11.774062802345563</v>
      </c>
      <c r="AD62" s="126">
        <f ca="1">OFFSET(RES!AG$95,$E62,0)</f>
        <v>12.180058258759367</v>
      </c>
      <c r="AE62" s="126">
        <f ca="1">OFFSET(RES!AH$95,$E62,0)</f>
        <v>12.560654410938998</v>
      </c>
      <c r="AF62" s="126">
        <f ca="1">OFFSET(RES!AI$95,$E62,0)</f>
        <v>12.939562595601384</v>
      </c>
      <c r="AG62" s="126">
        <f ca="1">OFFSET(RES!AJ$95,$E62,0)</f>
        <v>13.303987348911905</v>
      </c>
      <c r="AH62" s="126">
        <f ca="1">OFFSET(RES!AK$95,$E62,0)</f>
        <v>13.668091785531521</v>
      </c>
      <c r="AI62" s="126">
        <f ca="1">OFFSET(RES!AL$95,$E62,0)</f>
        <v>14.038185728608505</v>
      </c>
      <c r="AJ62" s="126">
        <f ca="1">OFFSET(RES!AM$95,$E62,0)</f>
        <v>15.947573558305312</v>
      </c>
      <c r="AK62" s="126">
        <f ca="1">OFFSET(RES!AN$95,$E62,0)</f>
        <v>17.676523065961195</v>
      </c>
      <c r="AL62" s="126">
        <f ca="1">OFFSET(RES!AO$95,$E62,0)</f>
        <v>17.676523065961195</v>
      </c>
      <c r="AM62" s="126">
        <f ca="1">OFFSET(RES!AP$95,$E62,0)</f>
        <v>17.676523065961195</v>
      </c>
      <c r="AQ62" s="4"/>
    </row>
    <row r="63" spans="1:43">
      <c r="A63" s="35" t="s">
        <v>363</v>
      </c>
      <c r="B63">
        <v>3.5355599850489998</v>
      </c>
      <c r="E63" s="129">
        <f>MATCH(F63,RES!$D$96:$D$134,0)</f>
        <v>27</v>
      </c>
      <c r="F63" s="4" t="str">
        <f t="shared" si="0"/>
        <v>RHEK</v>
      </c>
      <c r="G63" s="126">
        <f ca="1">OFFSET(RES!J$95,$E63,0)</f>
        <v>3.8919130042693295</v>
      </c>
      <c r="H63" s="126">
        <f ca="1">OFFSET(RES!K$95,$E63,0)</f>
        <v>4.2233553788747606</v>
      </c>
      <c r="I63" s="126">
        <f ca="1">OFFSET(RES!L$95,$E63,0)</f>
        <v>4.5547977534801918</v>
      </c>
      <c r="J63" s="126">
        <f ca="1">OFFSET(RES!M$95,$E63,0)</f>
        <v>4.886240128085622</v>
      </c>
      <c r="K63" s="126">
        <f ca="1">OFFSET(RES!N$95,$E63,0)</f>
        <v>5.2176825026910532</v>
      </c>
      <c r="L63" s="126">
        <f ca="1">OFFSET(RES!O$95,$E63,0)</f>
        <v>5.5491248772964843</v>
      </c>
      <c r="M63" s="126">
        <f ca="1">OFFSET(RES!P$95,$E63,0)</f>
        <v>5.7254497011098566</v>
      </c>
      <c r="N63" s="126">
        <f ca="1">OFFSET(RES!Q$95,$E63,0)</f>
        <v>5.804881712748184</v>
      </c>
      <c r="O63" s="203">
        <f ca="1">OFFSET(RES!R$95,$E63,0)</f>
        <v>5.2644998945782655</v>
      </c>
      <c r="P63" s="126">
        <f ca="1">OFFSET(RES!S$95,$E63,0)</f>
        <v>5.4014675581088989</v>
      </c>
      <c r="Q63" s="126">
        <f ca="1">OFFSET(RES!T$95,$E63,0)</f>
        <v>5.5766134301009975</v>
      </c>
      <c r="R63" s="126">
        <f ca="1">OFFSET(RES!U$95,$E63,0)</f>
        <v>5.7639297564730985</v>
      </c>
      <c r="S63" s="126">
        <f ca="1">OFFSET(RES!V$95,$E63,0)</f>
        <v>5.9445543434031789</v>
      </c>
      <c r="T63" s="203">
        <f ca="1">OFFSET(RES!W$95,$E63,0)</f>
        <v>6.1194146907081288</v>
      </c>
      <c r="U63" s="126">
        <f ca="1">OFFSET(RES!X$95,$E63,0)</f>
        <v>6.3516081402927247</v>
      </c>
      <c r="V63" s="126">
        <f ca="1">OFFSET(RES!Y$95,$E63,0)</f>
        <v>6.5805679001743833</v>
      </c>
      <c r="W63" s="126">
        <f ca="1">OFFSET(RES!Z$95,$E63,0)</f>
        <v>6.8190100266110303</v>
      </c>
      <c r="X63" s="126">
        <f ca="1">OFFSET(RES!AA$95,$E63,0)</f>
        <v>7.0885124231958248</v>
      </c>
      <c r="Y63" s="205">
        <f ca="1">OFFSET(RES!AB$95,$E63,0)</f>
        <v>7.3264474298206208</v>
      </c>
      <c r="Z63" s="126">
        <f ca="1">OFFSET(RES!AC$95,$E63,0)</f>
        <v>7.5932125434220534</v>
      </c>
      <c r="AA63" s="126">
        <f ca="1">OFFSET(RES!AD$95,$E63,0)</f>
        <v>7.8280576822030072</v>
      </c>
      <c r="AB63" s="126">
        <f ca="1">OFFSET(RES!AE$95,$E63,0)</f>
        <v>8.0868290953627557</v>
      </c>
      <c r="AC63" s="126">
        <f ca="1">OFFSET(RES!AF$95,$E63,0)</f>
        <v>8.3609369480920606</v>
      </c>
      <c r="AD63" s="126">
        <f ca="1">OFFSET(RES!AG$95,$E63,0)</f>
        <v>8.6492403544244478</v>
      </c>
      <c r="AE63" s="126">
        <f ca="1">OFFSET(RES!AH$95,$E63,0)</f>
        <v>8.9195073374089802</v>
      </c>
      <c r="AF63" s="126">
        <f ca="1">OFFSET(RES!AI$95,$E63,0)</f>
        <v>9.1885756695778138</v>
      </c>
      <c r="AG63" s="126">
        <f ca="1">OFFSET(RES!AJ$95,$E63,0)</f>
        <v>9.4473591019327259</v>
      </c>
      <c r="AH63" s="126">
        <f ca="1">OFFSET(RES!AK$95,$E63,0)</f>
        <v>9.7059150726458032</v>
      </c>
      <c r="AI63" s="126">
        <f ca="1">OFFSET(RES!AL$95,$E63,0)</f>
        <v>9.968724280893019</v>
      </c>
      <c r="AJ63" s="126">
        <f ca="1">OFFSET(RES!AM$95,$E63,0)</f>
        <v>11.324608950572973</v>
      </c>
      <c r="AK63" s="126">
        <f ca="1">OFFSET(RES!AN$95,$E63,0)</f>
        <v>12.552361686617992</v>
      </c>
      <c r="AL63" s="126">
        <f ca="1">OFFSET(RES!AO$95,$E63,0)</f>
        <v>12.552361686617992</v>
      </c>
      <c r="AM63" s="126">
        <f ca="1">OFFSET(RES!AP$95,$E63,0)</f>
        <v>12.552361686617992</v>
      </c>
      <c r="AQ63" s="4"/>
    </row>
    <row r="64" spans="1:43">
      <c r="A64" s="35" t="s">
        <v>364</v>
      </c>
      <c r="B64">
        <v>27.200595464100001</v>
      </c>
      <c r="E64" s="129">
        <f>MATCH(F64,RES!$D$96:$D$134,0)</f>
        <v>26</v>
      </c>
      <c r="F64" s="4" t="str">
        <f t="shared" si="0"/>
        <v>RHEL</v>
      </c>
      <c r="G64" s="126">
        <f ca="1">OFFSET(RES!J$95,$E64,0)</f>
        <v>29.15490908598996</v>
      </c>
      <c r="H64" s="126">
        <f ca="1">OFFSET(RES!K$95,$E64,0)</f>
        <v>29.919036883195538</v>
      </c>
      <c r="I64" s="126">
        <f ca="1">OFFSET(RES!L$95,$E64,0)</f>
        <v>30.683164680401113</v>
      </c>
      <c r="J64" s="126">
        <f ca="1">OFFSET(RES!M$95,$E64,0)</f>
        <v>31.447292477606691</v>
      </c>
      <c r="K64" s="126">
        <f ca="1">OFFSET(RES!N$95,$E64,0)</f>
        <v>32.211420274812269</v>
      </c>
      <c r="L64" s="126">
        <f ca="1">OFFSET(RES!O$95,$E64,0)</f>
        <v>32.975548072017844</v>
      </c>
      <c r="M64" s="126">
        <f ca="1">OFFSET(RES!P$95,$E64,0)</f>
        <v>34.023354317600244</v>
      </c>
      <c r="N64" s="126">
        <f ca="1">OFFSET(RES!Q$95,$E64,0)</f>
        <v>34.495377235836116</v>
      </c>
      <c r="O64" s="203">
        <f ca="1">OFFSET(RES!R$95,$E64,0)</f>
        <v>31.284170601216626</v>
      </c>
      <c r="P64" s="126">
        <f ca="1">OFFSET(RES!S$95,$E64,0)</f>
        <v>32.09809781910019</v>
      </c>
      <c r="Q64" s="126">
        <f ca="1">OFFSET(RES!T$95,$E64,0)</f>
        <v>33.138898170362921</v>
      </c>
      <c r="R64" s="126">
        <f ca="1">OFFSET(RES!U$95,$E64,0)</f>
        <v>34.252021169311604</v>
      </c>
      <c r="S64" s="126">
        <f ca="1">OFFSET(RES!V$95,$E64,0)</f>
        <v>35.325378659187209</v>
      </c>
      <c r="T64" s="203">
        <f ca="1">OFFSET(RES!W$95,$E64,0)</f>
        <v>36.364482286506075</v>
      </c>
      <c r="U64" s="126">
        <f ca="1">OFFSET(RES!X$95,$E64,0)</f>
        <v>37.744286567017205</v>
      </c>
      <c r="V64" s="126">
        <f ca="1">OFFSET(RES!Y$95,$E64,0)</f>
        <v>39.104874720191667</v>
      </c>
      <c r="W64" s="126">
        <f ca="1">OFFSET(RES!Z$95,$E64,0)</f>
        <v>40.521811620436111</v>
      </c>
      <c r="X64" s="126">
        <f ca="1">OFFSET(RES!AA$95,$E64,0)</f>
        <v>42.12332346791063</v>
      </c>
      <c r="Y64" s="205">
        <f ca="1">OFFSET(RES!AB$95,$E64,0)</f>
        <v>43.537246820234685</v>
      </c>
      <c r="Z64" s="126">
        <f ca="1">OFFSET(RES!AC$95,$E64,0)</f>
        <v>45.122492425986323</v>
      </c>
      <c r="AA64" s="126">
        <f ca="1">OFFSET(RES!AD$95,$E64,0)</f>
        <v>46.51805430909247</v>
      </c>
      <c r="AB64" s="126">
        <f ca="1">OFFSET(RES!AE$95,$E64,0)</f>
        <v>48.055797532213191</v>
      </c>
      <c r="AC64" s="126">
        <f ca="1">OFFSET(RES!AF$95,$E64,0)</f>
        <v>49.684677197829316</v>
      </c>
      <c r="AD64" s="126">
        <f ca="1">OFFSET(RES!AG$95,$E64,0)</f>
        <v>51.397913617095462</v>
      </c>
      <c r="AE64" s="126">
        <f ca="1">OFFSET(RES!AH$95,$E64,0)</f>
        <v>53.003969001819058</v>
      </c>
      <c r="AF64" s="126">
        <f ca="1">OFFSET(RES!AI$95,$E64,0)</f>
        <v>54.602901431397719</v>
      </c>
      <c r="AG64" s="126">
        <f ca="1">OFFSET(RES!AJ$95,$E64,0)</f>
        <v>56.140716078311677</v>
      </c>
      <c r="AH64" s="126">
        <f ca="1">OFFSET(RES!AK$95,$E64,0)</f>
        <v>57.677179039604802</v>
      </c>
      <c r="AI64" s="126">
        <f ca="1">OFFSET(RES!AL$95,$E64,0)</f>
        <v>59.238916767977422</v>
      </c>
      <c r="AJ64" s="126">
        <f ca="1">OFFSET(RES!AM$95,$E64,0)</f>
        <v>67.29623050551335</v>
      </c>
      <c r="AK64" s="126">
        <f ca="1">OFFSET(RES!AN$95,$E64,0)</f>
        <v>74.592123148630179</v>
      </c>
      <c r="AL64" s="126">
        <f ca="1">OFFSET(RES!AO$95,$E64,0)</f>
        <v>74.592123148630179</v>
      </c>
      <c r="AM64" s="126">
        <f ca="1">OFFSET(RES!AP$95,$E64,0)</f>
        <v>74.592123148630179</v>
      </c>
      <c r="AQ64" s="4"/>
    </row>
    <row r="65" spans="1:39">
      <c r="A65" s="35" t="s">
        <v>365</v>
      </c>
      <c r="B65">
        <v>11.63227160329</v>
      </c>
      <c r="E65" s="129">
        <f>MATCH(F65,RES!$D$96:$D$134,0)</f>
        <v>32</v>
      </c>
      <c r="F65" s="4" t="str">
        <f t="shared" si="0"/>
        <v>RHEO</v>
      </c>
      <c r="G65" s="126">
        <f ca="1">OFFSET(RES!J$95,$E65,0)</f>
        <v>11.690334156193106</v>
      </c>
      <c r="H65" s="126">
        <f ca="1">OFFSET(RES!K$95,$E65,0)</f>
        <v>12.00003056398719</v>
      </c>
      <c r="I65" s="126">
        <f ca="1">OFFSET(RES!L$95,$E65,0)</f>
        <v>12.309726971781274</v>
      </c>
      <c r="J65" s="126">
        <f ca="1">OFFSET(RES!M$95,$E65,0)</f>
        <v>12.619423379575359</v>
      </c>
      <c r="K65" s="126">
        <f ca="1">OFFSET(RES!N$95,$E65,0)</f>
        <v>12.929119787369443</v>
      </c>
      <c r="L65" s="126">
        <f ca="1">OFFSET(RES!O$95,$E65,0)</f>
        <v>13.238816195163526</v>
      </c>
      <c r="M65" s="126">
        <f ca="1">OFFSET(RES!P$95,$E65,0)</f>
        <v>13.65948287409527</v>
      </c>
      <c r="N65" s="126">
        <f ca="1">OFFSET(RES!Q$95,$E65,0)</f>
        <v>13.848987674463762</v>
      </c>
      <c r="O65" s="203">
        <f ca="1">OFFSET(RES!R$95,$E65,0)</f>
        <v>12.559772577642002</v>
      </c>
      <c r="P65" s="126">
        <f ca="1">OFFSET(RES!S$95,$E65,0)</f>
        <v>12.886542971579594</v>
      </c>
      <c r="Q65" s="126">
        <f ca="1">OFFSET(RES!T$95,$E65,0)</f>
        <v>13.304396968005552</v>
      </c>
      <c r="R65" s="126">
        <f ca="1">OFFSET(RES!U$95,$E65,0)</f>
        <v>13.751286607368232</v>
      </c>
      <c r="S65" s="126">
        <f ca="1">OFFSET(RES!V$95,$E65,0)</f>
        <v>14.182211439584242</v>
      </c>
      <c r="T65" s="203">
        <f ca="1">OFFSET(RES!W$95,$E65,0)</f>
        <v>14.599384245924208</v>
      </c>
      <c r="U65" s="126">
        <f ca="1">OFFSET(RES!X$95,$E65,0)</f>
        <v>15.153339413404428</v>
      </c>
      <c r="V65" s="126">
        <f ca="1">OFFSET(RES!Y$95,$E65,0)</f>
        <v>15.699579810617983</v>
      </c>
      <c r="W65" s="126">
        <f ca="1">OFFSET(RES!Z$95,$E65,0)</f>
        <v>16.268442749347997</v>
      </c>
      <c r="X65" s="126">
        <f ca="1">OFFSET(RES!AA$95,$E65,0)</f>
        <v>16.911407680113879</v>
      </c>
      <c r="Y65" s="205">
        <f ca="1">OFFSET(RES!AB$95,$E65,0)</f>
        <v>17.479060758527812</v>
      </c>
      <c r="Z65" s="126">
        <f ca="1">OFFSET(RES!AC$95,$E65,0)</f>
        <v>18.115495220599584</v>
      </c>
      <c r="AA65" s="126">
        <f ca="1">OFFSET(RES!AD$95,$E65,0)</f>
        <v>18.675776651527382</v>
      </c>
      <c r="AB65" s="126">
        <f ca="1">OFFSET(RES!AE$95,$E65,0)</f>
        <v>19.293140154987352</v>
      </c>
      <c r="AC65" s="126">
        <f ca="1">OFFSET(RES!AF$95,$E65,0)</f>
        <v>19.947092545711381</v>
      </c>
      <c r="AD65" s="126">
        <f ca="1">OFFSET(RES!AG$95,$E65,0)</f>
        <v>20.634911956748592</v>
      </c>
      <c r="AE65" s="126">
        <f ca="1">OFFSET(RES!AH$95,$E65,0)</f>
        <v>21.279700998349114</v>
      </c>
      <c r="AF65" s="126">
        <f ca="1">OFFSET(RES!AI$95,$E65,0)</f>
        <v>21.921630360598005</v>
      </c>
      <c r="AG65" s="126">
        <f ca="1">OFFSET(RES!AJ$95,$E65,0)</f>
        <v>22.539022538834466</v>
      </c>
      <c r="AH65" s="126">
        <f ca="1">OFFSET(RES!AK$95,$E65,0)</f>
        <v>23.155872050806554</v>
      </c>
      <c r="AI65" s="126">
        <f ca="1">OFFSET(RES!AL$95,$E65,0)</f>
        <v>23.7828687177254</v>
      </c>
      <c r="AJ65" s="126">
        <f ca="1">OFFSET(RES!AM$95,$E65,0)</f>
        <v>27.017668496186726</v>
      </c>
      <c r="AK65" s="126">
        <f ca="1">OFFSET(RES!AN$95,$E65,0)</f>
        <v>29.946777709805293</v>
      </c>
      <c r="AL65" s="126">
        <f ca="1">OFFSET(RES!AO$95,$E65,0)</f>
        <v>29.946777709805293</v>
      </c>
      <c r="AM65" s="126">
        <f ca="1">OFFSET(RES!AP$95,$E65,0)</f>
        <v>29.946777709805293</v>
      </c>
    </row>
    <row r="66" spans="1:39">
      <c r="A66" s="35" t="s">
        <v>366</v>
      </c>
      <c r="B66">
        <v>4.337948126733</v>
      </c>
      <c r="E66" s="129">
        <f>MATCH(F66,RES!$D$96:$D$134,0)</f>
        <v>31</v>
      </c>
      <c r="F66" s="4" t="str">
        <f t="shared" si="0"/>
        <v>RHER</v>
      </c>
      <c r="G66" s="126">
        <f ca="1">OFFSET(RES!J$95,$E66,0)</f>
        <v>5.223009778600523</v>
      </c>
      <c r="H66" s="126">
        <f ca="1">OFFSET(RES!K$95,$E66,0)</f>
        <v>5.3613760001895816</v>
      </c>
      <c r="I66" s="126">
        <f ca="1">OFFSET(RES!L$95,$E66,0)</f>
        <v>5.4997422217786411</v>
      </c>
      <c r="J66" s="126">
        <f ca="1">OFFSET(RES!M$95,$E66,0)</f>
        <v>5.6381084433676998</v>
      </c>
      <c r="K66" s="126">
        <f ca="1">OFFSET(RES!N$95,$E66,0)</f>
        <v>5.7764746649567593</v>
      </c>
      <c r="L66" s="126">
        <f ca="1">OFFSET(RES!O$95,$E66,0)</f>
        <v>5.914840886545818</v>
      </c>
      <c r="M66" s="126">
        <f ca="1">OFFSET(RES!P$95,$E66,0)</f>
        <v>6.1027864275574011</v>
      </c>
      <c r="N66" s="126">
        <f ca="1">OFFSET(RES!Q$95,$E66,0)</f>
        <v>6.1874534192953599</v>
      </c>
      <c r="O66" s="203">
        <f ca="1">OFFSET(RES!R$95,$E66,0)</f>
        <v>5.6114576464241228</v>
      </c>
      <c r="P66" s="126">
        <f ca="1">OFFSET(RES!S$95,$E66,0)</f>
        <v>5.7574521868786421</v>
      </c>
      <c r="Q66" s="126">
        <f ca="1">OFFSET(RES!T$95,$E66,0)</f>
        <v>5.9441410770506913</v>
      </c>
      <c r="R66" s="126">
        <f ca="1">OFFSET(RES!U$95,$E66,0)</f>
        <v>6.143802517447587</v>
      </c>
      <c r="S66" s="126">
        <f ca="1">OFFSET(RES!V$95,$E66,0)</f>
        <v>6.3363311981879624</v>
      </c>
      <c r="T66" s="203">
        <f ca="1">OFFSET(RES!W$95,$E66,0)</f>
        <v>6.5227157461202872</v>
      </c>
      <c r="U66" s="126">
        <f ca="1">OFFSET(RES!X$95,$E66,0)</f>
        <v>6.7702119440901898</v>
      </c>
      <c r="V66" s="126">
        <f ca="1">OFFSET(RES!Y$95,$E66,0)</f>
        <v>7.0142613354928818</v>
      </c>
      <c r="W66" s="126">
        <f ca="1">OFFSET(RES!Z$95,$E66,0)</f>
        <v>7.268418030414753</v>
      </c>
      <c r="X66" s="126">
        <f ca="1">OFFSET(RES!AA$95,$E66,0)</f>
        <v>7.555682027817971</v>
      </c>
      <c r="Y66" s="205">
        <f ca="1">OFFSET(RES!AB$95,$E66,0)</f>
        <v>7.8092981811114157</v>
      </c>
      <c r="Z66" s="126">
        <f ca="1">OFFSET(RES!AC$95,$E66,0)</f>
        <v>8.0936444944354236</v>
      </c>
      <c r="AA66" s="126">
        <f ca="1">OFFSET(RES!AD$95,$E66,0)</f>
        <v>8.3439671416245904</v>
      </c>
      <c r="AB66" s="126">
        <f ca="1">OFFSET(RES!AE$95,$E66,0)</f>
        <v>8.6197929283335437</v>
      </c>
      <c r="AC66" s="126">
        <f ca="1">OFFSET(RES!AF$95,$E66,0)</f>
        <v>8.911965905243818</v>
      </c>
      <c r="AD66" s="126">
        <f ca="1">OFFSET(RES!AG$95,$E66,0)</f>
        <v>9.2192699961072471</v>
      </c>
      <c r="AE66" s="126">
        <f ca="1">OFFSET(RES!AH$95,$E66,0)</f>
        <v>9.507348970105598</v>
      </c>
      <c r="AF66" s="126">
        <f ca="1">OFFSET(RES!AI$95,$E66,0)</f>
        <v>9.794150296004446</v>
      </c>
      <c r="AG66" s="126">
        <f ca="1">OFFSET(RES!AJ$95,$E66,0)</f>
        <v>10.069988894035642</v>
      </c>
      <c r="AH66" s="126">
        <f ca="1">OFFSET(RES!AK$95,$E66,0)</f>
        <v>10.345585039527206</v>
      </c>
      <c r="AI66" s="126">
        <f ca="1">OFFSET(RES!AL$95,$E66,0)</f>
        <v>10.625714732888639</v>
      </c>
      <c r="AJ66" s="126">
        <f ca="1">OFFSET(RES!AM$95,$E66,0)</f>
        <v>12.070959209990928</v>
      </c>
      <c r="AK66" s="126">
        <f ca="1">OFFSET(RES!AN$95,$E66,0)</f>
        <v>13.379627196800694</v>
      </c>
      <c r="AL66" s="126">
        <f ca="1">OFFSET(RES!AO$95,$E66,0)</f>
        <v>13.379627196800694</v>
      </c>
      <c r="AM66" s="126">
        <f ca="1">OFFSET(RES!AP$95,$E66,0)</f>
        <v>13.379627196800694</v>
      </c>
    </row>
    <row r="67" spans="1:39">
      <c r="A67" s="35" t="s">
        <v>522</v>
      </c>
      <c r="B67">
        <v>25.581294669590001</v>
      </c>
      <c r="E67" s="129">
        <f>MATCH(F67,RES!$D$96:$D$134,0)</f>
        <v>29</v>
      </c>
      <c r="F67" s="4" t="str">
        <f t="shared" si="0"/>
        <v>RHEWG</v>
      </c>
      <c r="G67" s="126">
        <f ca="1">OFFSET(RES!J$95,$E67,0)</f>
        <v>31.741720257828536</v>
      </c>
      <c r="H67" s="126">
        <f ca="1">OFFSET(RES!K$95,$E67,0)</f>
        <v>32.208008967956879</v>
      </c>
      <c r="I67" s="126">
        <f ca="1">OFFSET(RES!L$95,$E67,0)</f>
        <v>32.674297678085217</v>
      </c>
      <c r="J67" s="126">
        <f ca="1">OFFSET(RES!M$95,$E67,0)</f>
        <v>33.140586388213556</v>
      </c>
      <c r="K67" s="126">
        <f ca="1">OFFSET(RES!N$95,$E67,0)</f>
        <v>33.606875098341902</v>
      </c>
      <c r="L67" s="126">
        <f ca="1">OFFSET(RES!O$95,$E67,0)</f>
        <v>34.073163808470241</v>
      </c>
      <c r="M67" s="126">
        <f ca="1">OFFSET(RES!P$95,$E67,0)</f>
        <v>35.155847067207745</v>
      </c>
      <c r="N67" s="126">
        <f ca="1">OFFSET(RES!Q$95,$E67,0)</f>
        <v>35.643581620679832</v>
      </c>
      <c r="O67" s="203">
        <f ca="1">OFFSET(RES!R$95,$E67,0)</f>
        <v>32.325487575805298</v>
      </c>
      <c r="P67" s="126">
        <f ca="1">OFFSET(RES!S$95,$E67,0)</f>
        <v>33.166506968797663</v>
      </c>
      <c r="Q67" s="126">
        <f ca="1">OFFSET(RES!T$95,$E67,0)</f>
        <v>34.241951136792608</v>
      </c>
      <c r="R67" s="126">
        <f ca="1">OFFSET(RES!U$95,$E67,0)</f>
        <v>35.392125265796352</v>
      </c>
      <c r="S67" s="126">
        <f ca="1">OFFSET(RES!V$95,$E67,0)</f>
        <v>36.501210261069396</v>
      </c>
      <c r="T67" s="203">
        <f ca="1">OFFSET(RES!W$95,$E67,0)</f>
        <v>37.574901228397259</v>
      </c>
      <c r="U67" s="126">
        <f ca="1">OFFSET(RES!X$95,$E67,0)</f>
        <v>39.000633324519086</v>
      </c>
      <c r="V67" s="126">
        <f ca="1">OFFSET(RES!Y$95,$E67,0)</f>
        <v>40.406509670159473</v>
      </c>
      <c r="W67" s="126">
        <f ca="1">OFFSET(RES!Z$95,$E67,0)</f>
        <v>41.870610372984899</v>
      </c>
      <c r="X67" s="126">
        <f ca="1">OFFSET(RES!AA$95,$E67,0)</f>
        <v>43.525429737958866</v>
      </c>
      <c r="Y67" s="205">
        <f ca="1">OFFSET(RES!AB$95,$E67,0)</f>
        <v>44.986416584671517</v>
      </c>
      <c r="Z67" s="126">
        <f ca="1">OFFSET(RES!AC$95,$E67,0)</f>
        <v>46.62442827392281</v>
      </c>
      <c r="AA67" s="126">
        <f ca="1">OFFSET(RES!AD$95,$E67,0)</f>
        <v>48.06644247620634</v>
      </c>
      <c r="AB67" s="126">
        <f ca="1">OFFSET(RES!AE$95,$E67,0)</f>
        <v>49.655370630556533</v>
      </c>
      <c r="AC67" s="126">
        <f ca="1">OFFSET(RES!AF$95,$E67,0)</f>
        <v>51.338468771931204</v>
      </c>
      <c r="AD67" s="126">
        <f ca="1">OFFSET(RES!AG$95,$E67,0)</f>
        <v>53.108731544480179</v>
      </c>
      <c r="AE67" s="126">
        <f ca="1">OFFSET(RES!AH$95,$E67,0)</f>
        <v>54.768245681732672</v>
      </c>
      <c r="AF67" s="126">
        <f ca="1">OFFSET(RES!AI$95,$E67,0)</f>
        <v>56.420399770960373</v>
      </c>
      <c r="AG67" s="126">
        <f ca="1">OFFSET(RES!AJ$95,$E67,0)</f>
        <v>58.009401726498083</v>
      </c>
      <c r="AH67" s="126">
        <f ca="1">OFFSET(RES!AK$95,$E67,0)</f>
        <v>59.597007004549937</v>
      </c>
      <c r="AI67" s="126">
        <f ca="1">OFFSET(RES!AL$95,$E67,0)</f>
        <v>61.210728339173151</v>
      </c>
      <c r="AJ67" s="126">
        <f ca="1">OFFSET(RES!AM$95,$E67,0)</f>
        <v>69.536235779889964</v>
      </c>
      <c r="AK67" s="126">
        <f ca="1">OFFSET(RES!AN$95,$E67,0)</f>
        <v>77.074977656598392</v>
      </c>
      <c r="AL67" s="126">
        <f ca="1">OFFSET(RES!AO$95,$E67,0)</f>
        <v>77.074977656598392</v>
      </c>
      <c r="AM67" s="126">
        <f ca="1">OFFSET(RES!AP$95,$E67,0)</f>
        <v>77.074977656598392</v>
      </c>
    </row>
    <row r="68" spans="1:39">
      <c r="A68" s="35" t="s">
        <v>367</v>
      </c>
      <c r="B68">
        <v>14.738241842140001</v>
      </c>
      <c r="E68" s="129">
        <f>MATCH(F68,RES!$D$96:$D$134,0)</f>
        <v>7</v>
      </c>
      <c r="F68" s="4" t="str">
        <f t="shared" si="0"/>
        <v>RLEH</v>
      </c>
      <c r="G68" s="126">
        <f ca="1">OFFSET(RES!J$95,$E68,0)</f>
        <v>14.676645094763478</v>
      </c>
      <c r="H68" s="126">
        <f ca="1">OFFSET(RES!K$95,$E68,0)</f>
        <v>14.08428987326449</v>
      </c>
      <c r="I68" s="126">
        <f ca="1">OFFSET(RES!L$95,$E68,0)</f>
        <v>13.491934651765501</v>
      </c>
      <c r="J68" s="126">
        <f ca="1">OFFSET(RES!M$95,$E68,0)</f>
        <v>12.899579430266513</v>
      </c>
      <c r="K68" s="126">
        <f ca="1">OFFSET(RES!N$95,$E68,0)</f>
        <v>12.307224208767526</v>
      </c>
      <c r="L68" s="126">
        <f ca="1">OFFSET(RES!O$95,$E68,0)</f>
        <v>11.714868987268536</v>
      </c>
      <c r="M68" s="126">
        <f ca="1">OFFSET(RES!P$95,$E68,0)</f>
        <v>11.734602306198665</v>
      </c>
      <c r="N68" s="126">
        <f ca="1">OFFSET(RES!Q$95,$E68,0)</f>
        <v>11.861440488774248</v>
      </c>
      <c r="O68" s="203">
        <f ca="1">OFFSET(RES!R$95,$E68,0)</f>
        <v>12.390477491420196</v>
      </c>
      <c r="P68" s="126">
        <f ca="1">OFFSET(RES!S$95,$E68,0)</f>
        <v>12.904262574312579</v>
      </c>
      <c r="Q68" s="126">
        <f ca="1">OFFSET(RES!T$95,$E68,0)</f>
        <v>12.881253008262815</v>
      </c>
      <c r="R68" s="126">
        <f ca="1">OFFSET(RES!U$95,$E68,0)</f>
        <v>12.858853662498323</v>
      </c>
      <c r="S68" s="126">
        <f ca="1">OFFSET(RES!V$95,$E68,0)</f>
        <v>12.833310429412061</v>
      </c>
      <c r="T68" s="203">
        <f ca="1">OFFSET(RES!W$95,$E68,0)</f>
        <v>12.817968861097174</v>
      </c>
      <c r="U68" s="126">
        <f ca="1">OFFSET(RES!X$95,$E68,0)</f>
        <v>12.733009982347479</v>
      </c>
      <c r="V68" s="126">
        <f ca="1">OFFSET(RES!Y$95,$E68,0)</f>
        <v>12.629522334251197</v>
      </c>
      <c r="W68" s="126">
        <f ca="1">OFFSET(RES!Z$95,$E68,0)</f>
        <v>12.523264962223124</v>
      </c>
      <c r="X68" s="126">
        <f ca="1">OFFSET(RES!AA$95,$E68,0)</f>
        <v>12.393729732266559</v>
      </c>
      <c r="Y68" s="205">
        <f ca="1">OFFSET(RES!AB$95,$E68,0)</f>
        <v>12.272789827114627</v>
      </c>
      <c r="Z68" s="126">
        <f ca="1">OFFSET(RES!AC$95,$E68,0)</f>
        <v>12.124834288987858</v>
      </c>
      <c r="AA68" s="126">
        <f ca="1">OFFSET(RES!AD$95,$E68,0)</f>
        <v>11.981929325668105</v>
      </c>
      <c r="AB68" s="126">
        <f ca="1">OFFSET(RES!AE$95,$E68,0)</f>
        <v>11.834327782133339</v>
      </c>
      <c r="AC68" s="126">
        <f ca="1">OFFSET(RES!AF$95,$E68,0)</f>
        <v>11.666413437713505</v>
      </c>
      <c r="AD68" s="126">
        <f ca="1">OFFSET(RES!AG$95,$E68,0)</f>
        <v>11.484243691049741</v>
      </c>
      <c r="AE68" s="126">
        <f ca="1">OFFSET(RES!AH$95,$E68,0)</f>
        <v>11.288575878256765</v>
      </c>
      <c r="AF68" s="126">
        <f ca="1">OFFSET(RES!AI$95,$E68,0)</f>
        <v>11.10137006762581</v>
      </c>
      <c r="AG68" s="126">
        <f ca="1">OFFSET(RES!AJ$95,$E68,0)</f>
        <v>10.921957952979017</v>
      </c>
      <c r="AH68" s="126">
        <f ca="1">OFFSET(RES!AK$95,$E68,0)</f>
        <v>10.748147096180666</v>
      </c>
      <c r="AI68" s="126">
        <f ca="1">OFFSET(RES!AL$95,$E68,0)</f>
        <v>10.572167105249102</v>
      </c>
      <c r="AJ68" s="126">
        <f ca="1">OFFSET(RES!AM$95,$E68,0)</f>
        <v>9.60337028320561</v>
      </c>
      <c r="AK68" s="126">
        <f ca="1">OFFSET(RES!AN$95,$E68,0)</f>
        <v>8.6359593097513798</v>
      </c>
      <c r="AL68" s="126">
        <f ca="1">OFFSET(RES!AO$95,$E68,0)</f>
        <v>8.6359593097513798</v>
      </c>
      <c r="AM68" s="126">
        <f ca="1">OFFSET(RES!AP$95,$E68,0)</f>
        <v>8.6359593097513798</v>
      </c>
    </row>
    <row r="69" spans="1:39">
      <c r="A69" s="35" t="s">
        <v>368</v>
      </c>
      <c r="B69">
        <v>8.0953817121640004</v>
      </c>
      <c r="E69" s="129">
        <f>MATCH(F69,RES!$D$96:$D$134,0)</f>
        <v>6</v>
      </c>
      <c r="F69" s="4" t="str">
        <f t="shared" ref="F69:F131" si="1">A69</f>
        <v>RLEK</v>
      </c>
      <c r="G69" s="126">
        <f ca="1">OFFSET(RES!J$95,$E69,0)</f>
        <v>10.057098199765919</v>
      </c>
      <c r="H69" s="126">
        <f ca="1">OFFSET(RES!K$95,$E69,0)</f>
        <v>10.651583309100051</v>
      </c>
      <c r="I69" s="126">
        <f ca="1">OFFSET(RES!L$95,$E69,0)</f>
        <v>11.246068418434183</v>
      </c>
      <c r="J69" s="126">
        <f ca="1">OFFSET(RES!M$95,$E69,0)</f>
        <v>11.840553527768316</v>
      </c>
      <c r="K69" s="126">
        <f ca="1">OFFSET(RES!N$95,$E69,0)</f>
        <v>12.435038637102448</v>
      </c>
      <c r="L69" s="126">
        <f ca="1">OFFSET(RES!O$95,$E69,0)</f>
        <v>13.029523746436579</v>
      </c>
      <c r="M69" s="126">
        <f ca="1">OFFSET(RES!P$95,$E69,0)</f>
        <v>13.051471558902563</v>
      </c>
      <c r="N69" s="126">
        <f ca="1">OFFSET(RES!Q$95,$E69,0)</f>
        <v>13.192543653999781</v>
      </c>
      <c r="O69" s="203">
        <f ca="1">OFFSET(RES!R$95,$E69,0)</f>
        <v>13.780949738285511</v>
      </c>
      <c r="P69" s="126">
        <f ca="1">OFFSET(RES!S$95,$E69,0)</f>
        <v>14.352392316549636</v>
      </c>
      <c r="Q69" s="126">
        <f ca="1">OFFSET(RES!T$95,$E69,0)</f>
        <v>14.326800593111123</v>
      </c>
      <c r="R69" s="126">
        <f ca="1">OFFSET(RES!U$95,$E69,0)</f>
        <v>14.301887569511774</v>
      </c>
      <c r="S69" s="126">
        <f ca="1">OFFSET(RES!V$95,$E69,0)</f>
        <v>14.27347784829168</v>
      </c>
      <c r="T69" s="203">
        <f ca="1">OFFSET(RES!W$95,$E69,0)</f>
        <v>14.25641463325414</v>
      </c>
      <c r="U69" s="126">
        <f ca="1">OFFSET(RES!X$95,$E69,0)</f>
        <v>14.161921580933809</v>
      </c>
      <c r="V69" s="126">
        <f ca="1">OFFSET(RES!Y$95,$E69,0)</f>
        <v>14.046820441535768</v>
      </c>
      <c r="W69" s="126">
        <f ca="1">OFFSET(RES!Z$95,$E69,0)</f>
        <v>13.92863875691101</v>
      </c>
      <c r="X69" s="126">
        <f ca="1">OFFSET(RES!AA$95,$E69,0)</f>
        <v>13.784566948975861</v>
      </c>
      <c r="Y69" s="205">
        <f ca="1">OFFSET(RES!AB$95,$E69,0)</f>
        <v>13.650055042117883</v>
      </c>
      <c r="Z69" s="126">
        <f ca="1">OFFSET(RES!AC$95,$E69,0)</f>
        <v>13.485495779907215</v>
      </c>
      <c r="AA69" s="126">
        <f ca="1">OFFSET(RES!AD$95,$E69,0)</f>
        <v>13.3265538732515</v>
      </c>
      <c r="AB69" s="126">
        <f ca="1">OFFSET(RES!AE$95,$E69,0)</f>
        <v>13.162388331273439</v>
      </c>
      <c r="AC69" s="126">
        <f ca="1">OFFSET(RES!AF$95,$E69,0)</f>
        <v>12.975630464807901</v>
      </c>
      <c r="AD69" s="126">
        <f ca="1">OFFSET(RES!AG$95,$E69,0)</f>
        <v>12.773017440059832</v>
      </c>
      <c r="AE69" s="126">
        <f ca="1">OFFSET(RES!AH$95,$E69,0)</f>
        <v>12.555391582188943</v>
      </c>
      <c r="AF69" s="126">
        <f ca="1">OFFSET(RES!AI$95,$E69,0)</f>
        <v>12.347177341147253</v>
      </c>
      <c r="AG69" s="126">
        <f ca="1">OFFSET(RES!AJ$95,$E69,0)</f>
        <v>12.147631412743845</v>
      </c>
      <c r="AH69" s="126">
        <f ca="1">OFFSET(RES!AK$95,$E69,0)</f>
        <v>11.954315321159399</v>
      </c>
      <c r="AI69" s="126">
        <f ca="1">OFFSET(RES!AL$95,$E69,0)</f>
        <v>11.758586672957493</v>
      </c>
      <c r="AJ69" s="126">
        <f ca="1">OFFSET(RES!AM$95,$E69,0)</f>
        <v>10.681070465818829</v>
      </c>
      <c r="AK69" s="126">
        <f ca="1">OFFSET(RES!AN$95,$E69,0)</f>
        <v>9.6050956286367857</v>
      </c>
      <c r="AL69" s="126">
        <f ca="1">OFFSET(RES!AO$95,$E69,0)</f>
        <v>9.6050956286367857</v>
      </c>
      <c r="AM69" s="126">
        <f ca="1">OFFSET(RES!AP$95,$E69,0)</f>
        <v>9.6050956286367857</v>
      </c>
    </row>
    <row r="70" spans="1:39">
      <c r="A70" s="35" t="s">
        <v>369</v>
      </c>
      <c r="B70">
        <v>8.4652619723960001</v>
      </c>
      <c r="E70" s="129">
        <f>MATCH(F70,RES!$D$96:$D$134,0)</f>
        <v>4</v>
      </c>
      <c r="F70" s="4" t="str">
        <f t="shared" si="1"/>
        <v>RLEL</v>
      </c>
      <c r="G70" s="126">
        <f ca="1">OFFSET(RES!J$95,$E70,0)</f>
        <v>10.675790841703828</v>
      </c>
      <c r="H70" s="126">
        <f ca="1">OFFSET(RES!K$95,$E70,0)</f>
        <v>12.639010653235388</v>
      </c>
      <c r="I70" s="126">
        <f ca="1">OFFSET(RES!L$95,$E70,0)</f>
        <v>14.602230464766947</v>
      </c>
      <c r="J70" s="126">
        <f ca="1">OFFSET(RES!M$95,$E70,0)</f>
        <v>16.565450276298506</v>
      </c>
      <c r="K70" s="126">
        <f ca="1">OFFSET(RES!N$95,$E70,0)</f>
        <v>18.528670087830069</v>
      </c>
      <c r="L70" s="126">
        <f ca="1">OFFSET(RES!O$95,$E70,0)</f>
        <v>20.491889899361627</v>
      </c>
      <c r="M70" s="126">
        <f ca="1">OFFSET(RES!P$95,$E70,0)</f>
        <v>20.526407826903512</v>
      </c>
      <c r="N70" s="126">
        <f ca="1">OFFSET(RES!Q$95,$E70,0)</f>
        <v>20.748275785921976</v>
      </c>
      <c r="O70" s="203">
        <f ca="1">OFFSET(RES!R$95,$E70,0)</f>
        <v>21.673678197395017</v>
      </c>
      <c r="P70" s="126">
        <f ca="1">OFFSET(RES!S$95,$E70,0)</f>
        <v>22.572401636983386</v>
      </c>
      <c r="Q70" s="126">
        <f ca="1">OFFSET(RES!T$95,$E70,0)</f>
        <v>22.53215283056171</v>
      </c>
      <c r="R70" s="126">
        <f ca="1">OFFSET(RES!U$95,$E70,0)</f>
        <v>22.492971434020053</v>
      </c>
      <c r="S70" s="126">
        <f ca="1">OFFSET(RES!V$95,$E70,0)</f>
        <v>22.44829068508071</v>
      </c>
      <c r="T70" s="203">
        <f ca="1">OFFSET(RES!W$95,$E70,0)</f>
        <v>22.421454898087802</v>
      </c>
      <c r="U70" s="126">
        <f ca="1">OFFSET(RES!X$95,$E70,0)</f>
        <v>22.272843079107666</v>
      </c>
      <c r="V70" s="126">
        <f ca="1">OFFSET(RES!Y$95,$E70,0)</f>
        <v>22.091820355504218</v>
      </c>
      <c r="W70" s="126">
        <f ca="1">OFFSET(RES!Z$95,$E70,0)</f>
        <v>21.905952773804316</v>
      </c>
      <c r="X70" s="126">
        <f ca="1">OFFSET(RES!AA$95,$E70,0)</f>
        <v>21.679367084007598</v>
      </c>
      <c r="Y70" s="205">
        <f ca="1">OFFSET(RES!AB$95,$E70,0)</f>
        <v>21.46781651323246</v>
      </c>
      <c r="Z70" s="126">
        <f ca="1">OFFSET(RES!AC$95,$E70,0)</f>
        <v>21.20900964133406</v>
      </c>
      <c r="AA70" s="126">
        <f ca="1">OFFSET(RES!AD$95,$E70,0)</f>
        <v>20.959037338818071</v>
      </c>
      <c r="AB70" s="126">
        <f ca="1">OFFSET(RES!AE$95,$E70,0)</f>
        <v>20.700849681544451</v>
      </c>
      <c r="AC70" s="126">
        <f ca="1">OFFSET(RES!AF$95,$E70,0)</f>
        <v>20.407130454968872</v>
      </c>
      <c r="AD70" s="126">
        <f ca="1">OFFSET(RES!AG$95,$E70,0)</f>
        <v>20.088475385442667</v>
      </c>
      <c r="AE70" s="126">
        <f ca="1">OFFSET(RES!AH$95,$E70,0)</f>
        <v>19.746209220882047</v>
      </c>
      <c r="AF70" s="126">
        <f ca="1">OFFSET(RES!AI$95,$E70,0)</f>
        <v>19.418744964633053</v>
      </c>
      <c r="AG70" s="126">
        <f ca="1">OFFSET(RES!AJ$95,$E70,0)</f>
        <v>19.104913601777074</v>
      </c>
      <c r="AH70" s="126">
        <f ca="1">OFFSET(RES!AK$95,$E70,0)</f>
        <v>18.800880074411442</v>
      </c>
      <c r="AI70" s="126">
        <f ca="1">OFFSET(RES!AL$95,$E70,0)</f>
        <v>18.493052252983873</v>
      </c>
      <c r="AJ70" s="126">
        <f ca="1">OFFSET(RES!AM$95,$E70,0)</f>
        <v>16.798412916108497</v>
      </c>
      <c r="AK70" s="126">
        <f ca="1">OFFSET(RES!AN$95,$E70,0)</f>
        <v>15.10619773410324</v>
      </c>
      <c r="AL70" s="126">
        <f ca="1">OFFSET(RES!AO$95,$E70,0)</f>
        <v>15.10619773410324</v>
      </c>
      <c r="AM70" s="126">
        <f ca="1">OFFSET(RES!AP$95,$E70,0)</f>
        <v>15.10619773410324</v>
      </c>
    </row>
    <row r="71" spans="1:39">
      <c r="A71" s="35" t="s">
        <v>370</v>
      </c>
      <c r="B71">
        <v>1.2001829018570001</v>
      </c>
      <c r="E71" s="129">
        <f>MATCH(F71,RES!$D$96:$D$134,0)</f>
        <v>11</v>
      </c>
      <c r="F71" s="4" t="str">
        <f t="shared" si="1"/>
        <v>RLEO</v>
      </c>
      <c r="G71" s="126">
        <f ca="1">OFFSET(RES!J$95,$E71,0)</f>
        <v>1.9878001092508091</v>
      </c>
      <c r="H71" s="126">
        <f ca="1">OFFSET(RES!K$95,$E71,0)</f>
        <v>2.1565691406754266</v>
      </c>
      <c r="I71" s="126">
        <f ca="1">OFFSET(RES!L$95,$E71,0)</f>
        <v>2.3253381721000443</v>
      </c>
      <c r="J71" s="126">
        <f ca="1">OFFSET(RES!M$95,$E71,0)</f>
        <v>2.4941072035246621</v>
      </c>
      <c r="K71" s="126">
        <f ca="1">OFFSET(RES!N$95,$E71,0)</f>
        <v>2.6628762349492798</v>
      </c>
      <c r="L71" s="126">
        <f ca="1">OFFSET(RES!O$95,$E71,0)</f>
        <v>2.8316452663738976</v>
      </c>
      <c r="M71" s="126">
        <f ca="1">OFFSET(RES!P$95,$E71,0)</f>
        <v>2.8364150814865612</v>
      </c>
      <c r="N71" s="126">
        <f ca="1">OFFSET(RES!Q$95,$E71,0)</f>
        <v>2.8670736180588392</v>
      </c>
      <c r="O71" s="203">
        <f ca="1">OFFSET(RES!R$95,$E71,0)</f>
        <v>2.9949491517850015</v>
      </c>
      <c r="P71" s="126">
        <f ca="1">OFFSET(RES!S$95,$E71,0)</f>
        <v>3.1191380863336375</v>
      </c>
      <c r="Q71" s="126">
        <f ca="1">OFFSET(RES!T$95,$E71,0)</f>
        <v>3.1135763571451216</v>
      </c>
      <c r="R71" s="126">
        <f ca="1">OFFSET(RES!U$95,$E71,0)</f>
        <v>3.1081621266084567</v>
      </c>
      <c r="S71" s="126">
        <f ca="1">OFFSET(RES!V$95,$E71,0)</f>
        <v>3.1019879751830155</v>
      </c>
      <c r="T71" s="203">
        <f ca="1">OFFSET(RES!W$95,$E71,0)</f>
        <v>3.0982797067128511</v>
      </c>
      <c r="U71" s="126">
        <f ca="1">OFFSET(RES!X$95,$E71,0)</f>
        <v>3.0777439749765887</v>
      </c>
      <c r="V71" s="126">
        <f ca="1">OFFSET(RES!Y$95,$E71,0)</f>
        <v>3.0527295843608271</v>
      </c>
      <c r="W71" s="126">
        <f ca="1">OFFSET(RES!Z$95,$E71,0)</f>
        <v>3.0270457133036586</v>
      </c>
      <c r="X71" s="126">
        <f ca="1">OFFSET(RES!AA$95,$E71,0)</f>
        <v>2.995735263213795</v>
      </c>
      <c r="Y71" s="205">
        <f ca="1">OFFSET(RES!AB$95,$E71,0)</f>
        <v>2.966502421573709</v>
      </c>
      <c r="Z71" s="126">
        <f ca="1">OFFSET(RES!AC$95,$E71,0)</f>
        <v>2.9307395291652849</v>
      </c>
      <c r="AA71" s="126">
        <f ca="1">OFFSET(RES!AD$95,$E71,0)</f>
        <v>2.8961974302851794</v>
      </c>
      <c r="AB71" s="126">
        <f ca="1">OFFSET(RES!AE$95,$E71,0)</f>
        <v>2.8605201032477261</v>
      </c>
      <c r="AC71" s="126">
        <f ca="1">OFFSET(RES!AF$95,$E71,0)</f>
        <v>2.8199328923237768</v>
      </c>
      <c r="AD71" s="126">
        <f ca="1">OFFSET(RES!AG$95,$E71,0)</f>
        <v>2.7758999542364982</v>
      </c>
      <c r="AE71" s="126">
        <f ca="1">OFFSET(RES!AH$95,$E71,0)</f>
        <v>2.7286043475609896</v>
      </c>
      <c r="AF71" s="126">
        <f ca="1">OFFSET(RES!AI$95,$E71,0)</f>
        <v>2.6833541234153389</v>
      </c>
      <c r="AG71" s="126">
        <f ca="1">OFFSET(RES!AJ$95,$E71,0)</f>
        <v>2.6399877429870267</v>
      </c>
      <c r="AH71" s="126">
        <f ca="1">OFFSET(RES!AK$95,$E71,0)</f>
        <v>2.5979752637666169</v>
      </c>
      <c r="AI71" s="126">
        <f ca="1">OFFSET(RES!AL$95,$E71,0)</f>
        <v>2.5554384749353085</v>
      </c>
      <c r="AJ71" s="126">
        <f ca="1">OFFSET(RES!AM$95,$E71,0)</f>
        <v>2.3212669329232831</v>
      </c>
      <c r="AK71" s="126">
        <f ca="1">OFFSET(RES!AN$95,$E71,0)</f>
        <v>2.0874303696124241</v>
      </c>
      <c r="AL71" s="126">
        <f ca="1">OFFSET(RES!AO$95,$E71,0)</f>
        <v>2.0874303696124241</v>
      </c>
      <c r="AM71" s="126">
        <f ca="1">OFFSET(RES!AP$95,$E71,0)</f>
        <v>2.0874303696124241</v>
      </c>
    </row>
    <row r="72" spans="1:39">
      <c r="A72" s="35" t="s">
        <v>371</v>
      </c>
      <c r="B72">
        <v>1.9088027674250001</v>
      </c>
      <c r="E72" s="129">
        <f>MATCH(F72,RES!$D$96:$D$134,0)</f>
        <v>10</v>
      </c>
      <c r="F72" s="4" t="str">
        <f t="shared" si="1"/>
        <v>RLER</v>
      </c>
      <c r="G72" s="126">
        <f ca="1">OFFSET(RES!J$95,$E72,0)</f>
        <v>1.4353020960038052</v>
      </c>
      <c r="H72" s="126">
        <f ca="1">OFFSET(RES!K$95,$E72,0)</f>
        <v>1.6984088756600515</v>
      </c>
      <c r="I72" s="126">
        <f ca="1">OFFSET(RES!L$95,$E72,0)</f>
        <v>1.9615156553162976</v>
      </c>
      <c r="J72" s="126">
        <f ca="1">OFFSET(RES!M$95,$E72,0)</f>
        <v>2.2246224349725439</v>
      </c>
      <c r="K72" s="126">
        <f ca="1">OFFSET(RES!N$95,$E72,0)</f>
        <v>2.4877292146287902</v>
      </c>
      <c r="L72" s="126">
        <f ca="1">OFFSET(RES!O$95,$E72,0)</f>
        <v>2.7508359942850364</v>
      </c>
      <c r="M72" s="126">
        <f ca="1">OFFSET(RES!P$95,$E72,0)</f>
        <v>2.7554696887854786</v>
      </c>
      <c r="N72" s="126">
        <f ca="1">OFFSET(RES!Q$95,$E72,0)</f>
        <v>2.7852532944286827</v>
      </c>
      <c r="O72" s="203">
        <f ca="1">OFFSET(RES!R$95,$E72,0)</f>
        <v>2.9094795261320607</v>
      </c>
      <c r="P72" s="126">
        <f ca="1">OFFSET(RES!S$95,$E72,0)</f>
        <v>3.0301243665381357</v>
      </c>
      <c r="Q72" s="126">
        <f ca="1">OFFSET(RES!T$95,$E72,0)</f>
        <v>3.024721357544065</v>
      </c>
      <c r="R72" s="126">
        <f ca="1">OFFSET(RES!U$95,$E72,0)</f>
        <v>3.0194616378968058</v>
      </c>
      <c r="S72" s="126">
        <f ca="1">OFFSET(RES!V$95,$E72,0)</f>
        <v>3.0134636839239133</v>
      </c>
      <c r="T72" s="203">
        <f ca="1">OFFSET(RES!W$95,$E72,0)</f>
        <v>3.0098612417305577</v>
      </c>
      <c r="U72" s="126">
        <f ca="1">OFFSET(RES!X$95,$E72,0)</f>
        <v>2.9899115571073023</v>
      </c>
      <c r="V72" s="126">
        <f ca="1">OFFSET(RES!Y$95,$E72,0)</f>
        <v>2.965611025222862</v>
      </c>
      <c r="W72" s="126">
        <f ca="1">OFFSET(RES!Z$95,$E72,0)</f>
        <v>2.9406601184777141</v>
      </c>
      <c r="X72" s="126">
        <f ca="1">OFFSET(RES!AA$95,$E72,0)</f>
        <v>2.9102432035741197</v>
      </c>
      <c r="Y72" s="205">
        <f ca="1">OFFSET(RES!AB$95,$E72,0)</f>
        <v>2.8818446064921628</v>
      </c>
      <c r="Z72" s="126">
        <f ca="1">OFFSET(RES!AC$95,$E72,0)</f>
        <v>2.8471023127221473</v>
      </c>
      <c r="AA72" s="126">
        <f ca="1">OFFSET(RES!AD$95,$E72,0)</f>
        <v>2.8135459735698118</v>
      </c>
      <c r="AB72" s="126">
        <f ca="1">OFFSET(RES!AE$95,$E72,0)</f>
        <v>2.7788868033128735</v>
      </c>
      <c r="AC72" s="126">
        <f ca="1">OFFSET(RES!AF$95,$E72,0)</f>
        <v>2.7394578670534204</v>
      </c>
      <c r="AD72" s="126">
        <f ca="1">OFFSET(RES!AG$95,$E72,0)</f>
        <v>2.6966815375240785</v>
      </c>
      <c r="AE72" s="126">
        <f ca="1">OFFSET(RES!AH$95,$E72,0)</f>
        <v>2.6507356491885874</v>
      </c>
      <c r="AF72" s="126">
        <f ca="1">OFFSET(RES!AI$95,$E72,0)</f>
        <v>2.6067767724156075</v>
      </c>
      <c r="AG72" s="126">
        <f ca="1">OFFSET(RES!AJ$95,$E72,0)</f>
        <v>2.564647978374671</v>
      </c>
      <c r="AH72" s="126">
        <f ca="1">OFFSET(RES!AK$95,$E72,0)</f>
        <v>2.523834448014405</v>
      </c>
      <c r="AI72" s="126">
        <f ca="1">OFFSET(RES!AL$95,$E72,0)</f>
        <v>2.4825115707500838</v>
      </c>
      <c r="AJ72" s="126">
        <f ca="1">OFFSET(RES!AM$95,$E72,0)</f>
        <v>2.2550227979671824</v>
      </c>
      <c r="AK72" s="126">
        <f ca="1">OFFSET(RES!AN$95,$E72,0)</f>
        <v>2.0278594442893612</v>
      </c>
      <c r="AL72" s="126">
        <f ca="1">OFFSET(RES!AO$95,$E72,0)</f>
        <v>2.0278594442893612</v>
      </c>
      <c r="AM72" s="126">
        <f ca="1">OFFSET(RES!AP$95,$E72,0)</f>
        <v>2.0278594442893612</v>
      </c>
    </row>
    <row r="73" spans="1:39">
      <c r="A73" s="35" t="s">
        <v>372</v>
      </c>
      <c r="B73">
        <v>7.6914136780069997</v>
      </c>
      <c r="E73" s="129">
        <f>MATCH(F73,RES!$D$96:$D$134,0)</f>
        <v>9</v>
      </c>
      <c r="F73" s="4" t="str">
        <f t="shared" si="1"/>
        <v>RLEW</v>
      </c>
      <c r="G73" s="126">
        <f ca="1">OFFSET(RES!J$95,$E73,0)</f>
        <v>5.6663208871172328</v>
      </c>
      <c r="H73" s="126">
        <f ca="1">OFFSET(RES!K$95,$E73,0)</f>
        <v>6.0410431274929115</v>
      </c>
      <c r="I73" s="126">
        <f ca="1">OFFSET(RES!L$95,$E73,0)</f>
        <v>6.4157653678685902</v>
      </c>
      <c r="J73" s="126">
        <f ca="1">OFFSET(RES!M$95,$E73,0)</f>
        <v>6.7904876082442698</v>
      </c>
      <c r="K73" s="126">
        <f ca="1">OFFSET(RES!N$95,$E73,0)</f>
        <v>7.1652098486199485</v>
      </c>
      <c r="L73" s="126">
        <f ca="1">OFFSET(RES!O$95,$E73,0)</f>
        <v>7.5399320889956272</v>
      </c>
      <c r="M73" s="126">
        <f ca="1">OFFSET(RES!P$95,$E73,0)</f>
        <v>7.5526328613888456</v>
      </c>
      <c r="N73" s="126">
        <f ca="1">OFFSET(RES!Q$95,$E73,0)</f>
        <v>7.6342685402812736</v>
      </c>
      <c r="O73" s="203">
        <f ca="1">OFFSET(RES!R$95,$E73,0)</f>
        <v>7.9747677022310395</v>
      </c>
      <c r="P73" s="126">
        <f ca="1">OFFSET(RES!S$95,$E73,0)</f>
        <v>8.3054504130285416</v>
      </c>
      <c r="Q73" s="126">
        <f ca="1">OFFSET(RES!T$95,$E73,0)</f>
        <v>8.2906409801957004</v>
      </c>
      <c r="R73" s="126">
        <f ca="1">OFFSET(RES!U$95,$E73,0)</f>
        <v>8.2762242977653848</v>
      </c>
      <c r="S73" s="126">
        <f ca="1">OFFSET(RES!V$95,$E73,0)</f>
        <v>8.2597841444001947</v>
      </c>
      <c r="T73" s="203">
        <f ca="1">OFFSET(RES!W$95,$E73,0)</f>
        <v>8.2499099935788216</v>
      </c>
      <c r="U73" s="126">
        <f ca="1">OFFSET(RES!X$95,$E73,0)</f>
        <v>8.1952287012121641</v>
      </c>
      <c r="V73" s="126">
        <f ca="1">OFFSET(RES!Y$95,$E73,0)</f>
        <v>8.1286219094892811</v>
      </c>
      <c r="W73" s="126">
        <f ca="1">OFFSET(RES!Z$95,$E73,0)</f>
        <v>8.0602324661316533</v>
      </c>
      <c r="X73" s="126">
        <f ca="1">OFFSET(RES!AA$95,$E73,0)</f>
        <v>7.9768609117364342</v>
      </c>
      <c r="Y73" s="205">
        <f ca="1">OFFSET(RES!AB$95,$E73,0)</f>
        <v>7.8990214862434005</v>
      </c>
      <c r="Z73" s="126">
        <f ca="1">OFFSET(RES!AC$95,$E73,0)</f>
        <v>7.8037942403493981</v>
      </c>
      <c r="AA73" s="126">
        <f ca="1">OFFSET(RES!AD$95,$E73,0)</f>
        <v>7.7118176489097205</v>
      </c>
      <c r="AB73" s="126">
        <f ca="1">OFFSET(RES!AE$95,$E73,0)</f>
        <v>7.6168182412601304</v>
      </c>
      <c r="AC73" s="126">
        <f ca="1">OFFSET(RES!AF$95,$E73,0)</f>
        <v>7.5087450946402488</v>
      </c>
      <c r="AD73" s="126">
        <f ca="1">OFFSET(RES!AG$95,$E73,0)</f>
        <v>7.3914968761576478</v>
      </c>
      <c r="AE73" s="126">
        <f ca="1">OFFSET(RES!AH$95,$E73,0)</f>
        <v>7.2655610230068612</v>
      </c>
      <c r="AF73" s="126">
        <f ca="1">OFFSET(RES!AI$95,$E73,0)</f>
        <v>7.1450714895467105</v>
      </c>
      <c r="AG73" s="126">
        <f ca="1">OFFSET(RES!AJ$95,$E73,0)</f>
        <v>7.029598140092264</v>
      </c>
      <c r="AH73" s="126">
        <f ca="1">OFFSET(RES!AK$95,$E73,0)</f>
        <v>6.9177298760925598</v>
      </c>
      <c r="AI73" s="126">
        <f ca="1">OFFSET(RES!AL$95,$E73,0)</f>
        <v>6.8044655124801219</v>
      </c>
      <c r="AJ73" s="126">
        <f ca="1">OFFSET(RES!AM$95,$E73,0)</f>
        <v>6.1809278310787121</v>
      </c>
      <c r="AK73" s="126">
        <f ca="1">OFFSET(RES!AN$95,$E73,0)</f>
        <v>5.5582821105058882</v>
      </c>
      <c r="AL73" s="126">
        <f ca="1">OFFSET(RES!AO$95,$E73,0)</f>
        <v>5.5582821105058882</v>
      </c>
      <c r="AM73" s="126">
        <f ca="1">OFFSET(RES!AP$95,$E73,0)</f>
        <v>5.5582821105058882</v>
      </c>
    </row>
    <row r="74" spans="1:39">
      <c r="A74" s="35" t="s">
        <v>373</v>
      </c>
      <c r="B74">
        <v>0.1043575899953</v>
      </c>
      <c r="E74" s="129">
        <f>MATCH(F74,RES!$D$96:$D$134,0)</f>
        <v>5</v>
      </c>
      <c r="F74" s="4" t="str">
        <f t="shared" si="1"/>
        <v>RLNL</v>
      </c>
      <c r="G74" s="126">
        <f ca="1">OFFSET(RES!J$95,$E74,0)</f>
        <v>4.742986727829742E-2</v>
      </c>
      <c r="H74" s="126">
        <f ca="1">OFFSET(RES!K$95,$E74,0)</f>
        <v>4.5818274562462187E-2</v>
      </c>
      <c r="I74" s="126">
        <f ca="1">OFFSET(RES!L$95,$E74,0)</f>
        <v>4.4206681846626947E-2</v>
      </c>
      <c r="J74" s="126">
        <f ca="1">OFFSET(RES!M$95,$E74,0)</f>
        <v>4.2595089130791713E-2</v>
      </c>
      <c r="K74" s="126">
        <f ca="1">OFFSET(RES!N$95,$E74,0)</f>
        <v>4.0983496414956473E-2</v>
      </c>
      <c r="L74" s="126">
        <f ca="1">OFFSET(RES!O$95,$E74,0)</f>
        <v>3.937190369912124E-2</v>
      </c>
      <c r="M74" s="126">
        <f ca="1">OFFSET(RES!P$95,$E74,0)</f>
        <v>3.9438224400908474E-2</v>
      </c>
      <c r="N74" s="126">
        <f ca="1">OFFSET(RES!Q$95,$E74,0)</f>
        <v>3.9864508358088413E-2</v>
      </c>
      <c r="O74" s="203">
        <f ca="1">OFFSET(RES!R$95,$E74,0)</f>
        <v>4.1642521748087455E-2</v>
      </c>
      <c r="P74" s="126">
        <f ca="1">OFFSET(RES!S$95,$E74,0)</f>
        <v>4.3369275741466984E-2</v>
      </c>
      <c r="Q74" s="126">
        <f ca="1">OFFSET(RES!T$95,$E74,0)</f>
        <v>4.3291944068389425E-2</v>
      </c>
      <c r="R74" s="126">
        <f ca="1">OFFSET(RES!U$95,$E74,0)</f>
        <v>4.3216663253442082E-2</v>
      </c>
      <c r="S74" s="126">
        <f ca="1">OFFSET(RES!V$95,$E74,0)</f>
        <v>4.3130816308475865E-2</v>
      </c>
      <c r="T74" s="203">
        <f ca="1">OFFSET(RES!W$95,$E74,0)</f>
        <v>4.3079255616594155E-2</v>
      </c>
      <c r="U74" s="126">
        <f ca="1">OFFSET(RES!X$95,$E74,0)</f>
        <v>4.2793721668570185E-2</v>
      </c>
      <c r="V74" s="126">
        <f ca="1">OFFSET(RES!Y$95,$E74,0)</f>
        <v>4.2445915327814394E-2</v>
      </c>
      <c r="W74" s="126">
        <f ca="1">OFFSET(RES!Z$95,$E74,0)</f>
        <v>4.2088800363630191E-2</v>
      </c>
      <c r="X74" s="126">
        <f ca="1">OFFSET(RES!AA$95,$E74,0)</f>
        <v>4.1653452037922409E-2</v>
      </c>
      <c r="Y74" s="205">
        <f ca="1">OFFSET(RES!AB$95,$E74,0)</f>
        <v>4.124699129950548E-2</v>
      </c>
      <c r="Z74" s="126">
        <f ca="1">OFFSET(RES!AC$95,$E74,0)</f>
        <v>4.0749735102683336E-2</v>
      </c>
      <c r="AA74" s="126">
        <f ca="1">OFFSET(RES!AD$95,$E74,0)</f>
        <v>4.0269453124279105E-2</v>
      </c>
      <c r="AB74" s="126">
        <f ca="1">OFFSET(RES!AE$95,$E74,0)</f>
        <v>3.9773386649766408E-2</v>
      </c>
      <c r="AC74" s="126">
        <f ca="1">OFFSET(RES!AF$95,$E74,0)</f>
        <v>3.9209051922217714E-2</v>
      </c>
      <c r="AD74" s="126">
        <f ca="1">OFFSET(RES!AG$95,$E74,0)</f>
        <v>3.8596806942753262E-2</v>
      </c>
      <c r="AE74" s="126">
        <f ca="1">OFFSET(RES!AH$95,$E74,0)</f>
        <v>3.7939197003566141E-2</v>
      </c>
      <c r="AF74" s="126">
        <f ca="1">OFFSET(RES!AI$95,$E74,0)</f>
        <v>3.731002657442279E-2</v>
      </c>
      <c r="AG74" s="126">
        <f ca="1">OFFSET(RES!AJ$95,$E74,0)</f>
        <v>3.6707049579288997E-2</v>
      </c>
      <c r="AH74" s="126">
        <f ca="1">OFFSET(RES!AK$95,$E74,0)</f>
        <v>3.6122897565027165E-2</v>
      </c>
      <c r="AI74" s="126">
        <f ca="1">OFFSET(RES!AL$95,$E74,0)</f>
        <v>3.553145541885723E-2</v>
      </c>
      <c r="AJ74" s="126">
        <f ca="1">OFFSET(RES!AM$95,$E74,0)</f>
        <v>3.2275475755493992E-2</v>
      </c>
      <c r="AK74" s="126">
        <f ca="1">OFFSET(RES!AN$95,$E74,0)</f>
        <v>2.9024153719736937E-2</v>
      </c>
      <c r="AL74" s="126">
        <f ca="1">OFFSET(RES!AO$95,$E74,0)</f>
        <v>2.9024153719736937E-2</v>
      </c>
      <c r="AM74" s="126">
        <f ca="1">OFFSET(RES!AP$95,$E74,0)</f>
        <v>2.9024153719736937E-2</v>
      </c>
    </row>
    <row r="75" spans="1:39">
      <c r="A75" s="35" t="s">
        <v>374</v>
      </c>
      <c r="B75">
        <v>12.72538201427</v>
      </c>
      <c r="E75" s="129">
        <f>MATCH(F75,RES!$D$96:$D$134,0)</f>
        <v>18</v>
      </c>
      <c r="F75" s="4" t="str">
        <f t="shared" si="1"/>
        <v>RMEH</v>
      </c>
      <c r="G75" s="126">
        <f ca="1">OFFSET(RES!J$95,$E75,0)</f>
        <v>13.162628870539544</v>
      </c>
      <c r="H75" s="126">
        <f ca="1">OFFSET(RES!K$95,$E75,0)</f>
        <v>13.094413910887344</v>
      </c>
      <c r="I75" s="126">
        <f ca="1">OFFSET(RES!L$95,$E75,0)</f>
        <v>13.026198951235143</v>
      </c>
      <c r="J75" s="126">
        <f ca="1">OFFSET(RES!M$95,$E75,0)</f>
        <v>12.957983991582941</v>
      </c>
      <c r="K75" s="126">
        <f ca="1">OFFSET(RES!N$95,$E75,0)</f>
        <v>12.88976903193074</v>
      </c>
      <c r="L75" s="126">
        <f ca="1">OFFSET(RES!O$95,$E75,0)</f>
        <v>12.821554072278539</v>
      </c>
      <c r="M75" s="126">
        <f ca="1">OFFSET(RES!P$95,$E75,0)</f>
        <v>13.168058852120426</v>
      </c>
      <c r="N75" s="126">
        <f ca="1">OFFSET(RES!Q$95,$E75,0)</f>
        <v>13.509052100026246</v>
      </c>
      <c r="O75" s="203">
        <f ca="1">OFFSET(RES!R$95,$E75,0)</f>
        <v>14.231629301713678</v>
      </c>
      <c r="P75" s="126">
        <f ca="1">OFFSET(RES!S$95,$E75,0)</f>
        <v>13.642474837415934</v>
      </c>
      <c r="Q75" s="126">
        <f ca="1">OFFSET(RES!T$95,$E75,0)</f>
        <v>13.897341836418063</v>
      </c>
      <c r="R75" s="126">
        <f ca="1">OFFSET(RES!U$95,$E75,0)</f>
        <v>14.136523289515972</v>
      </c>
      <c r="S75" s="126">
        <f ca="1">OFFSET(RES!V$95,$E75,0)</f>
        <v>14.398255812838032</v>
      </c>
      <c r="T75" s="203">
        <f ca="1">OFFSET(RES!W$95,$E75,0)</f>
        <v>14.658599806417945</v>
      </c>
      <c r="U75" s="126">
        <f ca="1">OFFSET(RES!X$95,$E75,0)</f>
        <v>14.86765512340499</v>
      </c>
      <c r="V75" s="126">
        <f ca="1">OFFSET(RES!Y$95,$E75,0)</f>
        <v>15.117842598786636</v>
      </c>
      <c r="W75" s="126">
        <f ca="1">OFFSET(RES!Z$95,$E75,0)</f>
        <v>15.361230517814377</v>
      </c>
      <c r="X75" s="126">
        <f ca="1">OFFSET(RES!AA$95,$E75,0)</f>
        <v>15.595907814895273</v>
      </c>
      <c r="Y75" s="205">
        <f ca="1">OFFSET(RES!AB$95,$E75,0)</f>
        <v>15.874092146565763</v>
      </c>
      <c r="Z75" s="126">
        <f ca="1">OFFSET(RES!AC$95,$E75,0)</f>
        <v>16.089562553079762</v>
      </c>
      <c r="AA75" s="126">
        <f ca="1">OFFSET(RES!AD$95,$E75,0)</f>
        <v>16.354009223234911</v>
      </c>
      <c r="AB75" s="126">
        <f ca="1">OFFSET(RES!AE$95,$E75,0)</f>
        <v>16.589536103347768</v>
      </c>
      <c r="AC75" s="126">
        <f ca="1">OFFSET(RES!AF$95,$E75,0)</f>
        <v>16.836941153344544</v>
      </c>
      <c r="AD75" s="126">
        <f ca="1">OFFSET(RES!AG$95,$E75,0)</f>
        <v>17.087995994241048</v>
      </c>
      <c r="AE75" s="126">
        <f ca="1">OFFSET(RES!AH$95,$E75,0)</f>
        <v>17.334016216315554</v>
      </c>
      <c r="AF75" s="126">
        <f ca="1">OFFSET(RES!AI$95,$E75,0)</f>
        <v>17.570565096296246</v>
      </c>
      <c r="AG75" s="126">
        <f ca="1">OFFSET(RES!AJ$95,$E75,0)</f>
        <v>17.81413199073139</v>
      </c>
      <c r="AH75" s="126">
        <f ca="1">OFFSET(RES!AK$95,$E75,0)</f>
        <v>18.051438122326349</v>
      </c>
      <c r="AI75" s="126">
        <f ca="1">OFFSET(RES!AL$95,$E75,0)</f>
        <v>18.288003129946812</v>
      </c>
      <c r="AJ75" s="126">
        <f ca="1">OFFSET(RES!AM$95,$E75,0)</f>
        <v>19.290599360347493</v>
      </c>
      <c r="AK75" s="126">
        <f ca="1">OFFSET(RES!AN$95,$E75,0)</f>
        <v>20.250906218699033</v>
      </c>
      <c r="AL75" s="126">
        <f ca="1">OFFSET(RES!AO$95,$E75,0)</f>
        <v>20.250906218699033</v>
      </c>
      <c r="AM75" s="126">
        <f ca="1">OFFSET(RES!AP$95,$E75,0)</f>
        <v>20.250906218699033</v>
      </c>
    </row>
    <row r="76" spans="1:39">
      <c r="A76" s="35" t="s">
        <v>375</v>
      </c>
      <c r="B76">
        <v>5.0035172999329998</v>
      </c>
      <c r="E76" s="129">
        <f>MATCH(F76,RES!$D$96:$D$134,0)</f>
        <v>17</v>
      </c>
      <c r="F76" s="4" t="str">
        <f t="shared" si="1"/>
        <v>RMEK</v>
      </c>
      <c r="G76" s="126">
        <f ca="1">OFFSET(RES!J$95,$E76,0)</f>
        <v>9.0463349071673473</v>
      </c>
      <c r="H76" s="126">
        <f ca="1">OFFSET(RES!K$95,$E76,0)</f>
        <v>8.9413508126583654</v>
      </c>
      <c r="I76" s="126">
        <f ca="1">OFFSET(RES!L$95,$E76,0)</f>
        <v>8.8363667181493835</v>
      </c>
      <c r="J76" s="126">
        <f ca="1">OFFSET(RES!M$95,$E76,0)</f>
        <v>8.7313826236403997</v>
      </c>
      <c r="K76" s="126">
        <f ca="1">OFFSET(RES!N$95,$E76,0)</f>
        <v>8.6263985291314178</v>
      </c>
      <c r="L76" s="126">
        <f ca="1">OFFSET(RES!O$95,$E76,0)</f>
        <v>8.5214144346224359</v>
      </c>
      <c r="M76" s="126">
        <f ca="1">OFFSET(RES!P$95,$E76,0)</f>
        <v>8.7517071757336229</v>
      </c>
      <c r="N76" s="126">
        <f ca="1">OFFSET(RES!Q$95,$E76,0)</f>
        <v>8.9783368626212638</v>
      </c>
      <c r="O76" s="203">
        <f ca="1">OFFSET(RES!R$95,$E76,0)</f>
        <v>9.4585734830712944</v>
      </c>
      <c r="P76" s="126">
        <f ca="1">OFFSET(RES!S$95,$E76,0)</f>
        <v>9.0670117949960787</v>
      </c>
      <c r="Q76" s="126">
        <f ca="1">OFFSET(RES!T$95,$E76,0)</f>
        <v>9.2364005689280422</v>
      </c>
      <c r="R76" s="126">
        <f ca="1">OFFSET(RES!U$95,$E76,0)</f>
        <v>9.3953644726352543</v>
      </c>
      <c r="S76" s="126">
        <f ca="1">OFFSET(RES!V$95,$E76,0)</f>
        <v>9.5693161862632419</v>
      </c>
      <c r="T76" s="203">
        <f ca="1">OFFSET(RES!W$95,$E76,0)</f>
        <v>9.7423450603258424</v>
      </c>
      <c r="U76" s="126">
        <f ca="1">OFFSET(RES!X$95,$E76,0)</f>
        <v>9.8812866414918599</v>
      </c>
      <c r="V76" s="126">
        <f ca="1">OFFSET(RES!Y$95,$E76,0)</f>
        <v>10.047565327527931</v>
      </c>
      <c r="W76" s="126">
        <f ca="1">OFFSET(RES!Z$95,$E76,0)</f>
        <v>10.209324917256598</v>
      </c>
      <c r="X76" s="126">
        <f ca="1">OFFSET(RES!AA$95,$E76,0)</f>
        <v>10.365295285243974</v>
      </c>
      <c r="Y76" s="205">
        <f ca="1">OFFSET(RES!AB$95,$E76,0)</f>
        <v>10.550181139643483</v>
      </c>
      <c r="Z76" s="126">
        <f ca="1">OFFSET(RES!AC$95,$E76,0)</f>
        <v>10.693386294178705</v>
      </c>
      <c r="AA76" s="126">
        <f ca="1">OFFSET(RES!AD$95,$E76,0)</f>
        <v>10.86914187416102</v>
      </c>
      <c r="AB76" s="126">
        <f ca="1">OFFSET(RES!AE$95,$E76,0)</f>
        <v>11.025676888919852</v>
      </c>
      <c r="AC76" s="126">
        <f ca="1">OFFSET(RES!AF$95,$E76,0)</f>
        <v>11.19010632955991</v>
      </c>
      <c r="AD76" s="126">
        <f ca="1">OFFSET(RES!AG$95,$E76,0)</f>
        <v>11.356961480896267</v>
      </c>
      <c r="AE76" s="126">
        <f ca="1">OFFSET(RES!AH$95,$E76,0)</f>
        <v>11.520470542260943</v>
      </c>
      <c r="AF76" s="126">
        <f ca="1">OFFSET(RES!AI$95,$E76,0)</f>
        <v>11.677684794838909</v>
      </c>
      <c r="AG76" s="126">
        <f ca="1">OFFSET(RES!AJ$95,$E76,0)</f>
        <v>11.839563334549107</v>
      </c>
      <c r="AH76" s="126">
        <f ca="1">OFFSET(RES!AK$95,$E76,0)</f>
        <v>11.997280868928957</v>
      </c>
      <c r="AI76" s="126">
        <f ca="1">OFFSET(RES!AL$95,$E76,0)</f>
        <v>12.154505840199958</v>
      </c>
      <c r="AJ76" s="126">
        <f ca="1">OFFSET(RES!AM$95,$E76,0)</f>
        <v>12.820847684696513</v>
      </c>
      <c r="AK76" s="126">
        <f ca="1">OFFSET(RES!AN$95,$E76,0)</f>
        <v>13.459083321210855</v>
      </c>
      <c r="AL76" s="126">
        <f ca="1">OFFSET(RES!AO$95,$E76,0)</f>
        <v>13.459083321210855</v>
      </c>
      <c r="AM76" s="126">
        <f ca="1">OFFSET(RES!AP$95,$E76,0)</f>
        <v>13.459083321210855</v>
      </c>
    </row>
    <row r="77" spans="1:39">
      <c r="A77" s="35" t="s">
        <v>376</v>
      </c>
      <c r="B77">
        <v>15.793352715539999</v>
      </c>
      <c r="E77" s="129">
        <f>MATCH(F77,RES!$D$96:$D$134,0)</f>
        <v>15</v>
      </c>
      <c r="F77" s="4" t="str">
        <f t="shared" si="1"/>
        <v>RMEL</v>
      </c>
      <c r="G77" s="126">
        <f ca="1">OFFSET(RES!J$95,$E77,0)</f>
        <v>16.048248534198041</v>
      </c>
      <c r="H77" s="126">
        <f ca="1">OFFSET(RES!K$95,$E77,0)</f>
        <v>17.585213087537426</v>
      </c>
      <c r="I77" s="126">
        <f ca="1">OFFSET(RES!L$95,$E77,0)</f>
        <v>19.12217764087681</v>
      </c>
      <c r="J77" s="126">
        <f ca="1">OFFSET(RES!M$95,$E77,0)</f>
        <v>20.659142194216194</v>
      </c>
      <c r="K77" s="126">
        <f ca="1">OFFSET(RES!N$95,$E77,0)</f>
        <v>22.196106747555582</v>
      </c>
      <c r="L77" s="126">
        <f ca="1">OFFSET(RES!O$95,$E77,0)</f>
        <v>23.733071300894967</v>
      </c>
      <c r="M77" s="126">
        <f ca="1">OFFSET(RES!P$95,$E77,0)</f>
        <v>24.374461775070689</v>
      </c>
      <c r="N77" s="126">
        <f ca="1">OFFSET(RES!Q$95,$E77,0)</f>
        <v>25.005650242556861</v>
      </c>
      <c r="O77" s="203">
        <f ca="1">OFFSET(RES!R$95,$E77,0)</f>
        <v>26.343161760378774</v>
      </c>
      <c r="P77" s="126">
        <f ca="1">OFFSET(RES!S$95,$E77,0)</f>
        <v>25.252619628777868</v>
      </c>
      <c r="Q77" s="126">
        <f ca="1">OFFSET(RES!T$95,$E77,0)</f>
        <v>25.724385892482257</v>
      </c>
      <c r="R77" s="126">
        <f ca="1">OFFSET(RES!U$95,$E77,0)</f>
        <v>26.167117752303955</v>
      </c>
      <c r="S77" s="126">
        <f ca="1">OFFSET(RES!V$95,$E77,0)</f>
        <v>26.651592302171192</v>
      </c>
      <c r="T77" s="203">
        <f ca="1">OFFSET(RES!W$95,$E77,0)</f>
        <v>27.133496642905587</v>
      </c>
      <c r="U77" s="126">
        <f ca="1">OFFSET(RES!X$95,$E77,0)</f>
        <v>27.520464144342252</v>
      </c>
      <c r="V77" s="126">
        <f ca="1">OFFSET(RES!Y$95,$E77,0)</f>
        <v>27.983568473064885</v>
      </c>
      <c r="W77" s="126">
        <f ca="1">OFFSET(RES!Z$95,$E77,0)</f>
        <v>28.434086624257716</v>
      </c>
      <c r="X77" s="126">
        <f ca="1">OFFSET(RES!AA$95,$E77,0)</f>
        <v>28.868481159656845</v>
      </c>
      <c r="Y77" s="205">
        <f ca="1">OFFSET(RES!AB$95,$E77,0)</f>
        <v>29.383408487585221</v>
      </c>
      <c r="Z77" s="126">
        <f ca="1">OFFSET(RES!AC$95,$E77,0)</f>
        <v>29.782250507218865</v>
      </c>
      <c r="AA77" s="126">
        <f ca="1">OFFSET(RES!AD$95,$E77,0)</f>
        <v>30.271749022195767</v>
      </c>
      <c r="AB77" s="126">
        <f ca="1">OFFSET(RES!AE$95,$E77,0)</f>
        <v>30.707716160616329</v>
      </c>
      <c r="AC77" s="126">
        <f ca="1">OFFSET(RES!AF$95,$E77,0)</f>
        <v>31.165670138634496</v>
      </c>
      <c r="AD77" s="126">
        <f ca="1">OFFSET(RES!AG$95,$E77,0)</f>
        <v>31.630379986274107</v>
      </c>
      <c r="AE77" s="126">
        <f ca="1">OFFSET(RES!AH$95,$E77,0)</f>
        <v>32.085770607336208</v>
      </c>
      <c r="AF77" s="126">
        <f ca="1">OFFSET(RES!AI$95,$E77,0)</f>
        <v>32.523629497380334</v>
      </c>
      <c r="AG77" s="126">
        <f ca="1">OFFSET(RES!AJ$95,$E77,0)</f>
        <v>32.974478937282868</v>
      </c>
      <c r="AH77" s="126">
        <f ca="1">OFFSET(RES!AK$95,$E77,0)</f>
        <v>33.413739522195868</v>
      </c>
      <c r="AI77" s="126">
        <f ca="1">OFFSET(RES!AL$95,$E77,0)</f>
        <v>33.851628264972547</v>
      </c>
      <c r="AJ77" s="126">
        <f ca="1">OFFSET(RES!AM$95,$E77,0)</f>
        <v>35.707463188568454</v>
      </c>
      <c r="AK77" s="126">
        <f ca="1">OFFSET(RES!AN$95,$E77,0)</f>
        <v>37.485019248583988</v>
      </c>
      <c r="AL77" s="126">
        <f ca="1">OFFSET(RES!AO$95,$E77,0)</f>
        <v>37.485019248583988</v>
      </c>
      <c r="AM77" s="126">
        <f ca="1">OFFSET(RES!AP$95,$E77,0)</f>
        <v>37.485019248583988</v>
      </c>
    </row>
    <row r="78" spans="1:39">
      <c r="A78" s="35" t="s">
        <v>377</v>
      </c>
      <c r="B78">
        <v>8.1991938940679994</v>
      </c>
      <c r="E78" s="129">
        <f>MATCH(F78,RES!$D$96:$D$134,0)</f>
        <v>22</v>
      </c>
      <c r="F78" s="4" t="str">
        <f t="shared" si="1"/>
        <v>RMEO</v>
      </c>
      <c r="G78" s="126">
        <f ca="1">OFFSET(RES!J$95,$E78,0)</f>
        <v>5.8181446629629967</v>
      </c>
      <c r="H78" s="126">
        <f ca="1">OFFSET(RES!K$95,$E78,0)</f>
        <v>6.4084282360981142</v>
      </c>
      <c r="I78" s="126">
        <f ca="1">OFFSET(RES!L$95,$E78,0)</f>
        <v>6.9987118092332326</v>
      </c>
      <c r="J78" s="126">
        <f ca="1">OFFSET(RES!M$95,$E78,0)</f>
        <v>7.58899538236835</v>
      </c>
      <c r="K78" s="126">
        <f ca="1">OFFSET(RES!N$95,$E78,0)</f>
        <v>8.1792789555034684</v>
      </c>
      <c r="L78" s="126">
        <f ca="1">OFFSET(RES!O$95,$E78,0)</f>
        <v>8.7695625286385859</v>
      </c>
      <c r="M78" s="126">
        <f ca="1">OFFSET(RES!P$95,$E78,0)</f>
        <v>9.006561516137733</v>
      </c>
      <c r="N78" s="126">
        <f ca="1">OFFSET(RES!Q$95,$E78,0)</f>
        <v>9.2397907793375111</v>
      </c>
      <c r="O78" s="203">
        <f ca="1">OFFSET(RES!R$95,$E78,0)</f>
        <v>9.7340121440991485</v>
      </c>
      <c r="P78" s="126">
        <f ca="1">OFFSET(RES!S$95,$E78,0)</f>
        <v>9.331047972629765</v>
      </c>
      <c r="Q78" s="126">
        <f ca="1">OFFSET(RES!T$95,$E78,0)</f>
        <v>9.5053694372225852</v>
      </c>
      <c r="R78" s="126">
        <f ca="1">OFFSET(RES!U$95,$E78,0)</f>
        <v>9.6689624538575814</v>
      </c>
      <c r="S78" s="126">
        <f ca="1">OFFSET(RES!V$95,$E78,0)</f>
        <v>9.8479797333630188</v>
      </c>
      <c r="T78" s="203">
        <f ca="1">OFFSET(RES!W$95,$E78,0)</f>
        <v>10.026047299726976</v>
      </c>
      <c r="U78" s="126">
        <f ca="1">OFFSET(RES!X$95,$E78,0)</f>
        <v>10.169034933201617</v>
      </c>
      <c r="V78" s="126">
        <f ca="1">OFFSET(RES!Y$95,$E78,0)</f>
        <v>10.340155742494563</v>
      </c>
      <c r="W78" s="126">
        <f ca="1">OFFSET(RES!Z$95,$E78,0)</f>
        <v>10.506625857006172</v>
      </c>
      <c r="X78" s="126">
        <f ca="1">OFFSET(RES!AA$95,$E78,0)</f>
        <v>10.667138164578345</v>
      </c>
      <c r="Y78" s="205">
        <f ca="1">OFFSET(RES!AB$95,$E78,0)</f>
        <v>10.857407992815974</v>
      </c>
      <c r="Z78" s="126">
        <f ca="1">OFFSET(RES!AC$95,$E78,0)</f>
        <v>11.004783357170686</v>
      </c>
      <c r="AA78" s="126">
        <f ca="1">OFFSET(RES!AD$95,$E78,0)</f>
        <v>11.185657032572479</v>
      </c>
      <c r="AB78" s="126">
        <f ca="1">OFFSET(RES!AE$95,$E78,0)</f>
        <v>11.346750429728647</v>
      </c>
      <c r="AC78" s="126">
        <f ca="1">OFFSET(RES!AF$95,$E78,0)</f>
        <v>11.515968142621864</v>
      </c>
      <c r="AD78" s="126">
        <f ca="1">OFFSET(RES!AG$95,$E78,0)</f>
        <v>11.687682204189446</v>
      </c>
      <c r="AE78" s="126">
        <f ca="1">OFFSET(RES!AH$95,$E78,0)</f>
        <v>11.855952735876134</v>
      </c>
      <c r="AF78" s="126">
        <f ca="1">OFFSET(RES!AI$95,$E78,0)</f>
        <v>12.017745150615873</v>
      </c>
      <c r="AG78" s="126">
        <f ca="1">OFFSET(RES!AJ$95,$E78,0)</f>
        <v>12.184337678995369</v>
      </c>
      <c r="AH78" s="126">
        <f ca="1">OFFSET(RES!AK$95,$E78,0)</f>
        <v>12.346648031369176</v>
      </c>
      <c r="AI78" s="126">
        <f ca="1">OFFSET(RES!AL$95,$E78,0)</f>
        <v>12.508451476935962</v>
      </c>
      <c r="AJ78" s="126">
        <f ca="1">OFFSET(RES!AM$95,$E78,0)</f>
        <v>13.194197548271104</v>
      </c>
      <c r="AK78" s="126">
        <f ca="1">OFFSET(RES!AN$95,$E78,0)</f>
        <v>13.851018943986492</v>
      </c>
      <c r="AL78" s="126">
        <f ca="1">OFFSET(RES!AO$95,$E78,0)</f>
        <v>13.851018943986492</v>
      </c>
      <c r="AM78" s="126">
        <f ca="1">OFFSET(RES!AP$95,$E78,0)</f>
        <v>13.851018943986492</v>
      </c>
    </row>
    <row r="79" spans="1:39">
      <c r="A79" s="35" t="s">
        <v>378</v>
      </c>
      <c r="B79">
        <v>3.5984677195130002</v>
      </c>
      <c r="E79" s="129">
        <f>MATCH(F79,RES!$D$96:$D$134,0)</f>
        <v>21</v>
      </c>
      <c r="F79" s="4" t="str">
        <f t="shared" si="1"/>
        <v>RMER</v>
      </c>
      <c r="G79" s="126">
        <f ca="1">OFFSET(RES!J$95,$E79,0)</f>
        <v>3.2557540936677181</v>
      </c>
      <c r="H79" s="126">
        <f ca="1">OFFSET(RES!K$95,$E79,0)</f>
        <v>3.5369252230832862</v>
      </c>
      <c r="I79" s="126">
        <f ca="1">OFFSET(RES!L$95,$E79,0)</f>
        <v>3.8180963524988547</v>
      </c>
      <c r="J79" s="126">
        <f ca="1">OFFSET(RES!M$95,$E79,0)</f>
        <v>4.0992674819144233</v>
      </c>
      <c r="K79" s="126">
        <f ca="1">OFFSET(RES!N$95,$E79,0)</f>
        <v>4.3804386113299909</v>
      </c>
      <c r="L79" s="126">
        <f ca="1">OFFSET(RES!O$95,$E79,0)</f>
        <v>4.6616097407455594</v>
      </c>
      <c r="M79" s="126">
        <f ca="1">OFFSET(RES!P$95,$E79,0)</f>
        <v>4.7875905733201538</v>
      </c>
      <c r="N79" s="126">
        <f ca="1">OFFSET(RES!Q$95,$E79,0)</f>
        <v>4.911567544988749</v>
      </c>
      <c r="O79" s="203">
        <f ca="1">OFFSET(RES!R$95,$E79,0)</f>
        <v>5.174279296063415</v>
      </c>
      <c r="P79" s="126">
        <f ca="1">OFFSET(RES!S$95,$E79,0)</f>
        <v>4.9600768542929519</v>
      </c>
      <c r="Q79" s="126">
        <f ca="1">OFFSET(RES!T$95,$E79,0)</f>
        <v>5.0527403862209326</v>
      </c>
      <c r="R79" s="126">
        <f ca="1">OFFSET(RES!U$95,$E79,0)</f>
        <v>5.139701029625118</v>
      </c>
      <c r="S79" s="126">
        <f ca="1">OFFSET(RES!V$95,$E79,0)</f>
        <v>5.2348607016360162</v>
      </c>
      <c r="T79" s="203">
        <f ca="1">OFFSET(RES!W$95,$E79,0)</f>
        <v>5.329515537514351</v>
      </c>
      <c r="U79" s="126">
        <f ca="1">OFFSET(RES!X$95,$E79,0)</f>
        <v>5.4055230399222296</v>
      </c>
      <c r="V79" s="126">
        <f ca="1">OFFSET(RES!Y$95,$E79,0)</f>
        <v>5.4964852092253427</v>
      </c>
      <c r="W79" s="126">
        <f ca="1">OFFSET(RES!Z$95,$E79,0)</f>
        <v>5.5849752228167979</v>
      </c>
      <c r="X79" s="126">
        <f ca="1">OFFSET(RES!AA$95,$E79,0)</f>
        <v>5.6702982630533496</v>
      </c>
      <c r="Y79" s="205">
        <f ca="1">OFFSET(RES!AB$95,$E79,0)</f>
        <v>5.7714394182462083</v>
      </c>
      <c r="Z79" s="126">
        <f ca="1">OFFSET(RES!AC$95,$E79,0)</f>
        <v>5.8497792934427544</v>
      </c>
      <c r="AA79" s="126">
        <f ca="1">OFFSET(RES!AD$95,$E79,0)</f>
        <v>5.9459257641867564</v>
      </c>
      <c r="AB79" s="126">
        <f ca="1">OFFSET(RES!AE$95,$E79,0)</f>
        <v>6.0315576924500665</v>
      </c>
      <c r="AC79" s="126">
        <f ca="1">OFFSET(RES!AF$95,$E79,0)</f>
        <v>6.1215082385752178</v>
      </c>
      <c r="AD79" s="126">
        <f ca="1">OFFSET(RES!AG$95,$E79,0)</f>
        <v>6.2127857611896431</v>
      </c>
      <c r="AE79" s="126">
        <f ca="1">OFFSET(RES!AH$95,$E79,0)</f>
        <v>6.3022328170752084</v>
      </c>
      <c r="AF79" s="126">
        <f ca="1">OFFSET(RES!AI$95,$E79,0)</f>
        <v>6.3882363199941397</v>
      </c>
      <c r="AG79" s="126">
        <f ca="1">OFFSET(RES!AJ$95,$E79,0)</f>
        <v>6.4767914047538646</v>
      </c>
      <c r="AH79" s="126">
        <f ca="1">OFFSET(RES!AK$95,$E79,0)</f>
        <v>6.5630702262091738</v>
      </c>
      <c r="AI79" s="126">
        <f ca="1">OFFSET(RES!AL$95,$E79,0)</f>
        <v>6.6490795927513631</v>
      </c>
      <c r="AJ79" s="126">
        <f ca="1">OFFSET(RES!AM$95,$E79,0)</f>
        <v>7.0135995508877649</v>
      </c>
      <c r="AK79" s="126">
        <f ca="1">OFFSET(RES!AN$95,$E79,0)</f>
        <v>7.3627441069814061</v>
      </c>
      <c r="AL79" s="126">
        <f ca="1">OFFSET(RES!AO$95,$E79,0)</f>
        <v>7.3627441069814061</v>
      </c>
      <c r="AM79" s="126">
        <f ca="1">OFFSET(RES!AP$95,$E79,0)</f>
        <v>7.3627441069814061</v>
      </c>
    </row>
    <row r="80" spans="1:39">
      <c r="A80" s="35" t="s">
        <v>379</v>
      </c>
      <c r="B80">
        <v>16.347656033450001</v>
      </c>
      <c r="E80" s="129">
        <f>MATCH(F80,RES!$D$96:$D$134,0)</f>
        <v>20</v>
      </c>
      <c r="F80" s="4" t="str">
        <f t="shared" si="1"/>
        <v>RMEW</v>
      </c>
      <c r="G80" s="126">
        <f ca="1">OFFSET(RES!J$95,$E80,0)</f>
        <v>6.0852758810873713</v>
      </c>
      <c r="H80" s="126">
        <f ca="1">OFFSET(RES!K$95,$E80,0)</f>
        <v>5.8917973817997336</v>
      </c>
      <c r="I80" s="126">
        <f ca="1">OFFSET(RES!L$95,$E80,0)</f>
        <v>5.6983188825120958</v>
      </c>
      <c r="J80" s="126">
        <f ca="1">OFFSET(RES!M$95,$E80,0)</f>
        <v>5.5048403832244572</v>
      </c>
      <c r="K80" s="126">
        <f ca="1">OFFSET(RES!N$95,$E80,0)</f>
        <v>5.3113618839368195</v>
      </c>
      <c r="L80" s="126">
        <f ca="1">OFFSET(RES!O$95,$E80,0)</f>
        <v>5.1178833846491818</v>
      </c>
      <c r="M80" s="126">
        <f ca="1">OFFSET(RES!P$95,$E80,0)</f>
        <v>5.2561950936243456</v>
      </c>
      <c r="N80" s="126">
        <f ca="1">OFFSET(RES!Q$95,$E80,0)</f>
        <v>5.3923068058159256</v>
      </c>
      <c r="O80" s="203">
        <f ca="1">OFFSET(RES!R$95,$E80,0)</f>
        <v>5.6807325172230936</v>
      </c>
      <c r="P80" s="126">
        <f ca="1">OFFSET(RES!S$95,$E80,0)</f>
        <v>5.4455641572236981</v>
      </c>
      <c r="Q80" s="126">
        <f ca="1">OFFSET(RES!T$95,$E80,0)</f>
        <v>5.5472975018818618</v>
      </c>
      <c r="R80" s="126">
        <f ca="1">OFFSET(RES!U$95,$E80,0)</f>
        <v>5.6427697650588096</v>
      </c>
      <c r="S80" s="126">
        <f ca="1">OFFSET(RES!V$95,$E80,0)</f>
        <v>5.7472435694651285</v>
      </c>
      <c r="T80" s="203">
        <f ca="1">OFFSET(RES!W$95,$E80,0)</f>
        <v>5.8511631248891192</v>
      </c>
      <c r="U80" s="126">
        <f ca="1">OFFSET(RES!X$95,$E80,0)</f>
        <v>5.9346101647135532</v>
      </c>
      <c r="V80" s="126">
        <f ca="1">OFFSET(RES!Y$95,$E80,0)</f>
        <v>6.0344756190948958</v>
      </c>
      <c r="W80" s="126">
        <f ca="1">OFFSET(RES!Z$95,$E80,0)</f>
        <v>6.1316269456653298</v>
      </c>
      <c r="X80" s="126">
        <f ca="1">OFFSET(RES!AA$95,$E80,0)</f>
        <v>6.2253013187338402</v>
      </c>
      <c r="Y80" s="205">
        <f ca="1">OFFSET(RES!AB$95,$E80,0)</f>
        <v>6.3363420678427449</v>
      </c>
      <c r="Z80" s="126">
        <f ca="1">OFFSET(RES!AC$95,$E80,0)</f>
        <v>6.422349770744054</v>
      </c>
      <c r="AA80" s="126">
        <f ca="1">OFFSET(RES!AD$95,$E80,0)</f>
        <v>6.5279069607448381</v>
      </c>
      <c r="AB80" s="126">
        <f ca="1">OFFSET(RES!AE$95,$E80,0)</f>
        <v>6.6219204554875732</v>
      </c>
      <c r="AC80" s="126">
        <f ca="1">OFFSET(RES!AF$95,$E80,0)</f>
        <v>6.7206752700380523</v>
      </c>
      <c r="AD80" s="126">
        <f ca="1">OFFSET(RES!AG$95,$E80,0)</f>
        <v>6.8208869441936821</v>
      </c>
      <c r="AE80" s="126">
        <f ca="1">OFFSET(RES!AH$95,$E80,0)</f>
        <v>6.9190889873894532</v>
      </c>
      <c r="AF80" s="126">
        <f ca="1">OFFSET(RES!AI$95,$E80,0)</f>
        <v>7.0135104261390708</v>
      </c>
      <c r="AG80" s="126">
        <f ca="1">OFFSET(RES!AJ$95,$E80,0)</f>
        <v>7.1107331929778725</v>
      </c>
      <c r="AH80" s="126">
        <f ca="1">OFFSET(RES!AK$95,$E80,0)</f>
        <v>7.2054568981635878</v>
      </c>
      <c r="AI80" s="126">
        <f ca="1">OFFSET(RES!AL$95,$E80,0)</f>
        <v>7.2998847744619733</v>
      </c>
      <c r="AJ80" s="126">
        <f ca="1">OFFSET(RES!AM$95,$E80,0)</f>
        <v>7.7000835772087974</v>
      </c>
      <c r="AK80" s="126">
        <f ca="1">OFFSET(RES!AN$95,$E80,0)</f>
        <v>8.0834020491207283</v>
      </c>
      <c r="AL80" s="126">
        <f ca="1">OFFSET(RES!AO$95,$E80,0)</f>
        <v>8.0834020491207283</v>
      </c>
      <c r="AM80" s="126">
        <f ca="1">OFFSET(RES!AP$95,$E80,0)</f>
        <v>8.0834020491207283</v>
      </c>
    </row>
    <row r="81" spans="1:39" s="185" customFormat="1">
      <c r="A81" s="35" t="s">
        <v>545</v>
      </c>
      <c r="B81" s="185">
        <v>17.347656033450001</v>
      </c>
      <c r="E81" s="129">
        <f>MATCH(F81,RES!$D$96:$D$134,0)</f>
        <v>19</v>
      </c>
      <c r="F81" s="185" t="str">
        <f>A81</f>
        <v>RMEWG</v>
      </c>
      <c r="G81" s="126">
        <f ca="1">OFFSET(RES!J$95,$E81,0)</f>
        <v>8.7188154069192709</v>
      </c>
      <c r="H81" s="126">
        <f ca="1">OFFSET(RES!K$95,$E81,0)</f>
        <v>9.2405614732838561</v>
      </c>
      <c r="I81" s="126">
        <f ca="1">OFFSET(RES!L$95,$E81,0)</f>
        <v>9.7623075396484413</v>
      </c>
      <c r="J81" s="126">
        <f ca="1">OFFSET(RES!M$95,$E81,0)</f>
        <v>10.284053606013025</v>
      </c>
      <c r="K81" s="126">
        <f ca="1">OFFSET(RES!N$95,$E81,0)</f>
        <v>10.80579967237761</v>
      </c>
      <c r="L81" s="126">
        <f ca="1">OFFSET(RES!O$95,$E81,0)</f>
        <v>11.327545738742195</v>
      </c>
      <c r="M81" s="126">
        <f ca="1">OFFSET(RES!P$95,$E81,0)</f>
        <v>11.633674677576382</v>
      </c>
      <c r="N81" s="126">
        <f ca="1">OFFSET(RES!Q$95,$E81,0)</f>
        <v>11.934934305736965</v>
      </c>
      <c r="O81" s="203">
        <f ca="1">OFFSET(RES!R$95,$E81,0)</f>
        <v>12.573314509552006</v>
      </c>
      <c r="P81" s="126">
        <f ca="1">OFFSET(RES!S$95,$E81,0)</f>
        <v>12.052810200644087</v>
      </c>
      <c r="Q81" s="126">
        <f ca="1">OFFSET(RES!T$95,$E81,0)</f>
        <v>12.277979284845399</v>
      </c>
      <c r="R81" s="126">
        <f ca="1">OFFSET(RES!U$95,$E81,0)</f>
        <v>12.489290552929761</v>
      </c>
      <c r="S81" s="126">
        <f ca="1">OFFSET(RES!V$95,$E81,0)</f>
        <v>12.720525168681778</v>
      </c>
      <c r="T81" s="203">
        <f ca="1">OFFSET(RES!W$95,$E81,0)</f>
        <v>12.950533050601445</v>
      </c>
      <c r="U81" s="126">
        <f ca="1">OFFSET(RES!X$95,$E81,0)</f>
        <v>13.135228575944822</v>
      </c>
      <c r="V81" s="126">
        <f ca="1">OFFSET(RES!Y$95,$E81,0)</f>
        <v>13.356263409528173</v>
      </c>
      <c r="W81" s="126">
        <f ca="1">OFFSET(RES!Z$95,$E81,0)</f>
        <v>13.571290992729253</v>
      </c>
      <c r="X81" s="126">
        <f ca="1">OFFSET(RES!AA$95,$E81,0)</f>
        <v>13.778622943407196</v>
      </c>
      <c r="Y81" s="205">
        <f ca="1">OFFSET(RES!AB$95,$E81,0)</f>
        <v>14.024392350378852</v>
      </c>
      <c r="Z81" s="126">
        <f ca="1">OFFSET(RES!AC$95,$E81,0)</f>
        <v>14.214755458577244</v>
      </c>
      <c r="AA81" s="126">
        <f ca="1">OFFSET(RES!AD$95,$E81,0)</f>
        <v>14.448387960125332</v>
      </c>
      <c r="AB81" s="126">
        <f ca="1">OFFSET(RES!AE$95,$E81,0)</f>
        <v>14.656470497713345</v>
      </c>
      <c r="AC81" s="126">
        <f ca="1">OFFSET(RES!AF$95,$E81,0)</f>
        <v>14.875047122983252</v>
      </c>
      <c r="AD81" s="126">
        <f ca="1">OFFSET(RES!AG$95,$E81,0)</f>
        <v>15.096848253888005</v>
      </c>
      <c r="AE81" s="126">
        <f ca="1">OFFSET(RES!AH$95,$E81,0)</f>
        <v>15.314201415797591</v>
      </c>
      <c r="AF81" s="126">
        <f ca="1">OFFSET(RES!AI$95,$E81,0)</f>
        <v>15.523186866572463</v>
      </c>
      <c r="AG81" s="126">
        <f ca="1">OFFSET(RES!AJ$95,$E81,0)</f>
        <v>15.73837257039621</v>
      </c>
      <c r="AH81" s="126">
        <f ca="1">OFFSET(RES!AK$95,$E81,0)</f>
        <v>15.948027035414443</v>
      </c>
      <c r="AI81" s="126">
        <f ca="1">OFFSET(RES!AL$95,$E81,0)</f>
        <v>16.157026734585113</v>
      </c>
      <c r="AJ81" s="126">
        <f ca="1">OFFSET(RES!AM$95,$E81,0)</f>
        <v>17.042797257669289</v>
      </c>
      <c r="AK81" s="126">
        <f ca="1">OFFSET(RES!AN$95,$E81,0)</f>
        <v>17.891206101081181</v>
      </c>
      <c r="AL81" s="126">
        <f ca="1">OFFSET(RES!AO$95,$E81,0)</f>
        <v>17.891206101081181</v>
      </c>
      <c r="AM81" s="126">
        <f ca="1">OFFSET(RES!AP$95,$E81,0)</f>
        <v>17.891206101081181</v>
      </c>
    </row>
    <row r="82" spans="1:39">
      <c r="A82" s="35" t="s">
        <v>380</v>
      </c>
      <c r="B82">
        <v>0.2282739655271</v>
      </c>
      <c r="E82" s="129">
        <f>MATCH(F82,RES!$D$96:$D$134,0)</f>
        <v>16</v>
      </c>
      <c r="F82" s="4" t="str">
        <f t="shared" si="1"/>
        <v>RMNL</v>
      </c>
      <c r="G82" s="126">
        <f ca="1">OFFSET(RES!J$95,$E82,0)</f>
        <v>3.3422499241462768E-2</v>
      </c>
      <c r="H82" s="126">
        <f ca="1">OFFSET(RES!K$95,$E82,0)</f>
        <v>4.0702012494378374E-2</v>
      </c>
      <c r="I82" s="126">
        <f ca="1">OFFSET(RES!L$95,$E82,0)</f>
        <v>4.7981525747293988E-2</v>
      </c>
      <c r="J82" s="126">
        <f ca="1">OFFSET(RES!M$95,$E82,0)</f>
        <v>5.5261039000209594E-2</v>
      </c>
      <c r="K82" s="126">
        <f ca="1">OFFSET(RES!N$95,$E82,0)</f>
        <v>6.2540552253125201E-2</v>
      </c>
      <c r="L82" s="126">
        <f ca="1">OFFSET(RES!O$95,$E82,0)</f>
        <v>6.9820065506040807E-2</v>
      </c>
      <c r="M82" s="126">
        <f ca="1">OFFSET(RES!P$95,$E82,0)</f>
        <v>7.170696519778913E-2</v>
      </c>
      <c r="N82" s="126">
        <f ca="1">OFFSET(RES!Q$95,$E82,0)</f>
        <v>7.3563851716512904E-2</v>
      </c>
      <c r="O82" s="203">
        <f ca="1">OFFSET(RES!R$95,$E82,0)</f>
        <v>7.7498662369775831E-2</v>
      </c>
      <c r="P82" s="126">
        <f ca="1">OFFSET(RES!S$95,$E82,0)</f>
        <v>7.4290408279939532E-2</v>
      </c>
      <c r="Q82" s="126">
        <f ca="1">OFFSET(RES!T$95,$E82,0)</f>
        <v>7.5678292343395681E-2</v>
      </c>
      <c r="R82" s="126">
        <f ca="1">OFFSET(RES!U$95,$E82,0)</f>
        <v>7.6980760408420057E-2</v>
      </c>
      <c r="S82" s="126">
        <f ca="1">OFFSET(RES!V$95,$E82,0)</f>
        <v>7.8406030841348159E-2</v>
      </c>
      <c r="T82" s="203">
        <f ca="1">OFFSET(RES!W$95,$E82,0)</f>
        <v>7.9823740003855587E-2</v>
      </c>
      <c r="U82" s="126">
        <f ca="1">OFFSET(RES!X$95,$E82,0)</f>
        <v>8.096215550669858E-2</v>
      </c>
      <c r="V82" s="126">
        <f ca="1">OFFSET(RES!Y$95,$E82,0)</f>
        <v>8.2324557117413252E-2</v>
      </c>
      <c r="W82" s="126">
        <f ca="1">OFFSET(RES!Z$95,$E82,0)</f>
        <v>8.3649931588721471E-2</v>
      </c>
      <c r="X82" s="126">
        <f ca="1">OFFSET(RES!AA$95,$E82,0)</f>
        <v>8.4927872169293928E-2</v>
      </c>
      <c r="Y82" s="205">
        <f ca="1">OFFSET(RES!AB$95,$E82,0)</f>
        <v>8.6442731300292869E-2</v>
      </c>
      <c r="Z82" s="126">
        <f ca="1">OFFSET(RES!AC$95,$E82,0)</f>
        <v>8.7616080319656092E-2</v>
      </c>
      <c r="AA82" s="126">
        <f ca="1">OFFSET(RES!AD$95,$E82,0)</f>
        <v>8.905613070114668E-2</v>
      </c>
      <c r="AB82" s="126">
        <f ca="1">OFFSET(RES!AE$95,$E82,0)</f>
        <v>9.0338697705521581E-2</v>
      </c>
      <c r="AC82" s="126">
        <f ca="1">OFFSET(RES!AF$95,$E82,0)</f>
        <v>9.1685947555260772E-2</v>
      </c>
      <c r="AD82" s="126">
        <f ca="1">OFFSET(RES!AG$95,$E82,0)</f>
        <v>9.3053072424694613E-2</v>
      </c>
      <c r="AE82" s="126">
        <f ca="1">OFFSET(RES!AH$95,$E82,0)</f>
        <v>9.4392781162357803E-2</v>
      </c>
      <c r="AF82" s="126">
        <f ca="1">OFFSET(RES!AI$95,$E82,0)</f>
        <v>9.5680913490352376E-2</v>
      </c>
      <c r="AG82" s="126">
        <f ca="1">OFFSET(RES!AJ$95,$E82,0)</f>
        <v>9.700726257632887E-2</v>
      </c>
      <c r="AH82" s="126">
        <f ca="1">OFFSET(RES!AK$95,$E82,0)</f>
        <v>9.8299518535282279E-2</v>
      </c>
      <c r="AI82" s="126">
        <f ca="1">OFFSET(RES!AL$95,$E82,0)</f>
        <v>9.9587738686707533E-2</v>
      </c>
      <c r="AJ82" s="126">
        <f ca="1">OFFSET(RES!AM$95,$E82,0)</f>
        <v>0.10504739935561465</v>
      </c>
      <c r="AK82" s="126">
        <f ca="1">OFFSET(RES!AN$95,$E82,0)</f>
        <v>0.11027677228326704</v>
      </c>
      <c r="AL82" s="126">
        <f ca="1">OFFSET(RES!AO$95,$E82,0)</f>
        <v>0.11027677228326704</v>
      </c>
      <c r="AM82" s="126">
        <f ca="1">OFFSET(RES!AP$95,$E82,0)</f>
        <v>0.11027677228326704</v>
      </c>
    </row>
    <row r="83" spans="1:39">
      <c r="A83" s="35" t="s">
        <v>134</v>
      </c>
      <c r="B83">
        <v>0.46620130319999997</v>
      </c>
      <c r="E83" s="131">
        <f>MATCH(F83,OtherTRA!$D$47:$D$51,0)</f>
        <v>1</v>
      </c>
      <c r="F83" s="4" t="str">
        <f>A83</f>
        <v>TFPIP</v>
      </c>
      <c r="G83" s="24">
        <f ca="1">OFFSET(OtherTRA!J$46,$E83,0)</f>
        <v>0.820564128</v>
      </c>
      <c r="H83" s="24">
        <f ca="1">OFFSET(OtherTRA!K$46,$E83,0)</f>
        <v>0.80153725200000003</v>
      </c>
      <c r="I83" s="24">
        <f ca="1">OFFSET(OtherTRA!L$46,$E83,0)</f>
        <v>0.78251037600000006</v>
      </c>
      <c r="J83" s="24">
        <f ca="1">OFFSET(OtherTRA!M$46,$E83,0)</f>
        <v>0.76348350000000009</v>
      </c>
      <c r="K83" s="24">
        <f ca="1">OFFSET(OtherTRA!N$46,$E83,0)</f>
        <v>0.73900575000000002</v>
      </c>
      <c r="L83" s="24">
        <f ca="1">OFFSET(OtherTRA!O$46,$E83,0)</f>
        <v>0.71452800000000005</v>
      </c>
      <c r="M83" s="24">
        <f ca="1">OFFSET(OtherTRA!P$46,$E83,0)</f>
        <v>0.74035993800000011</v>
      </c>
      <c r="N83" s="24">
        <f ca="1">OFFSET(OtherTRA!Q$46,$E83,0)</f>
        <v>0.76619187600000016</v>
      </c>
      <c r="O83" s="24">
        <f ca="1">OFFSET(OtherTRA!R$46,$E83,0)</f>
        <v>0.76619187600000005</v>
      </c>
      <c r="P83" s="24">
        <f ca="1">OFFSET(OtherTRA!S$46,$E83,0)</f>
        <v>0.74806779200000006</v>
      </c>
      <c r="Q83" s="24">
        <f ca="1">OFFSET(OtherTRA!T$46,$E83,0)</f>
        <v>0.72994370800000008</v>
      </c>
      <c r="R83" s="24">
        <f ca="1">OFFSET(OtherTRA!U$46,$E83,0)</f>
        <v>0.7118196240000001</v>
      </c>
      <c r="S83" s="24">
        <f ca="1">OFFSET(OtherTRA!V$46,$E83,0)</f>
        <v>0.69369554000000011</v>
      </c>
      <c r="T83" s="24">
        <f ca="1">OFFSET(OtherTRA!W$46,$E83,0)</f>
        <v>0.67557145600000013</v>
      </c>
      <c r="U83" s="24">
        <f ca="1">OFFSET(OtherTRA!X$46,$E83,0)</f>
        <v>0.65744737200000014</v>
      </c>
      <c r="V83" s="24">
        <f ca="1">OFFSET(OtherTRA!Y$46,$E83,0)</f>
        <v>0.63932328800000016</v>
      </c>
      <c r="W83" s="24">
        <f ca="1">OFFSET(OtherTRA!Z$46,$E83,0)</f>
        <v>0.62119920400000017</v>
      </c>
      <c r="X83" s="24">
        <f ca="1">OFFSET(OtherTRA!AA$46,$E83,0)</f>
        <v>0.60307512000000019</v>
      </c>
      <c r="Y83" s="24">
        <f ca="1">OFFSET(OtherTRA!AB$46,$E83,0)</f>
        <v>0.74806779200000006</v>
      </c>
      <c r="Z83" s="24">
        <f ca="1">OFFSET(OtherTRA!AC$46,$E83,0)</f>
        <v>0.74292922266666672</v>
      </c>
      <c r="AA83" s="24">
        <f ca="1">OFFSET(OtherTRA!AD$46,$E83,0)</f>
        <v>0.73779065333333338</v>
      </c>
      <c r="AB83" s="24">
        <f ca="1">OFFSET(OtherTRA!AE$46,$E83,0)</f>
        <v>0.73265208400000004</v>
      </c>
      <c r="AC83" s="24">
        <f ca="1">OFFSET(OtherTRA!AF$46,$E83,0)</f>
        <v>0.72751351466666669</v>
      </c>
      <c r="AD83" s="24">
        <f ca="1">OFFSET(OtherTRA!AG$46,$E83,0)</f>
        <v>0.72237494533333335</v>
      </c>
      <c r="AE83" s="24">
        <f ca="1">OFFSET(OtherTRA!AH$46,$E83,0)</f>
        <v>0.71723637600000001</v>
      </c>
      <c r="AF83" s="24">
        <f ca="1">OFFSET(OtherTRA!AI$46,$E83,0)</f>
        <v>0.71209780666666667</v>
      </c>
      <c r="AG83" s="24">
        <f ca="1">OFFSET(OtherTRA!AJ$46,$E83,0)</f>
        <v>0.70695923733333332</v>
      </c>
      <c r="AH83" s="24">
        <f ca="1">OFFSET(OtherTRA!AK$46,$E83,0)</f>
        <v>0.70182066799999998</v>
      </c>
      <c r="AI83" s="24">
        <f ca="1">OFFSET(OtherTRA!AL$46,$E83,0)</f>
        <v>0.74292922266666672</v>
      </c>
      <c r="AJ83" s="24">
        <f ca="1">OFFSET(OtherTRA!AM$46,$E83,0)</f>
        <v>0.74766275977777785</v>
      </c>
      <c r="AK83" s="24">
        <f ca="1">OFFSET(OtherTRA!AN$46,$E83,0)</f>
        <v>0.75239629688888898</v>
      </c>
      <c r="AL83" s="24">
        <f ca="1">OFFSET(OtherTRA!AO$46,$E83,0)</f>
        <v>0.75239629688888898</v>
      </c>
      <c r="AM83" s="24">
        <f ca="1">OFFSET(OtherTRA!AP$46,$E83,0)</f>
        <v>0.75239629688888898</v>
      </c>
    </row>
    <row r="84" spans="1:39">
      <c r="A84" s="35" t="s">
        <v>608</v>
      </c>
      <c r="B84">
        <f>[2]EB_2006!$AI$69/1000</f>
        <v>35.178032837499991</v>
      </c>
      <c r="E84" s="128">
        <f>MATCH(F84,OtherTRA!$D$47:$D$51,0)</f>
        <v>2</v>
      </c>
      <c r="F84" s="4" t="str">
        <f t="shared" si="1"/>
        <v>TAIJET</v>
      </c>
      <c r="G84" s="24">
        <f ca="1">OFFSET(OtherTRA!J$46,$E84,0)</f>
        <v>60.368000000000002</v>
      </c>
      <c r="H84" s="24">
        <f ca="1">OFFSET(OtherTRA!K$46,$E84,0)</f>
        <v>61.904899940793371</v>
      </c>
      <c r="I84" s="24">
        <f ca="1">OFFSET(OtherTRA!L$46,$E84,0)</f>
        <v>63.441799881586739</v>
      </c>
      <c r="J84" s="24">
        <f ca="1">OFFSET(OtherTRA!M$46,$E84,0)</f>
        <v>64.978699822380108</v>
      </c>
      <c r="K84" s="24">
        <f ca="1">OFFSET(OtherTRA!N$46,$E84,0)</f>
        <v>66.958988998805694</v>
      </c>
      <c r="L84" s="24">
        <f ca="1">OFFSET(OtherTRA!O$46,$E84,0)</f>
        <v>68.939278175231294</v>
      </c>
      <c r="M84" s="24">
        <f ca="1">OFFSET(OtherTRA!P$46,$E84,0)</f>
        <v>68.755017417988654</v>
      </c>
      <c r="N84" s="24">
        <f ca="1">OFFSET(OtherTRA!Q$46,$E84,0)</f>
        <v>68.570756660746014</v>
      </c>
      <c r="O84" s="24">
        <f ca="1">OFFSET(OtherTRA!R$46,$E84,0)</f>
        <v>68.570756660746</v>
      </c>
      <c r="P84" s="24">
        <f ca="1">OFFSET(OtherTRA!S$46,$E84,0)</f>
        <v>64.335346358792194</v>
      </c>
      <c r="Q84" s="24">
        <f ca="1">OFFSET(OtherTRA!T$46,$E84,0)</f>
        <v>60.099936056838388</v>
      </c>
      <c r="R84" s="24">
        <f ca="1">OFFSET(OtherTRA!U$46,$E84,0)</f>
        <v>55.864525754884582</v>
      </c>
      <c r="S84" s="24">
        <f ca="1">OFFSET(OtherTRA!V$46,$E84,0)</f>
        <v>51.629115452930776</v>
      </c>
      <c r="T84" s="24">
        <f ca="1">OFFSET(OtherTRA!W$46,$E84,0)</f>
        <v>47.39370515097697</v>
      </c>
      <c r="U84" s="24">
        <f ca="1">OFFSET(OtherTRA!X$46,$E84,0)</f>
        <v>43.158294849023164</v>
      </c>
      <c r="V84" s="24">
        <f ca="1">OFFSET(OtherTRA!Y$46,$E84,0)</f>
        <v>38.922884547069359</v>
      </c>
      <c r="W84" s="24">
        <f ca="1">OFFSET(OtherTRA!Z$46,$E84,0)</f>
        <v>34.687474245115553</v>
      </c>
      <c r="X84" s="24">
        <f ca="1">OFFSET(OtherTRA!AA$46,$E84,0)</f>
        <v>30.452063943161747</v>
      </c>
      <c r="Y84" s="24">
        <f ca="1">OFFSET(OtherTRA!AB$46,$E84,0)</f>
        <v>64.335346358792194</v>
      </c>
      <c r="Z84" s="24">
        <f ca="1">OFFSET(OtherTRA!AC$46,$E84,0)</f>
        <v>66.158181172291307</v>
      </c>
      <c r="AA84" s="24">
        <f ca="1">OFFSET(OtherTRA!AD$46,$E84,0)</f>
        <v>67.981015985790421</v>
      </c>
      <c r="AB84" s="24">
        <f ca="1">OFFSET(OtherTRA!AE$46,$E84,0)</f>
        <v>69.803850799289535</v>
      </c>
      <c r="AC84" s="24">
        <f ca="1">OFFSET(OtherTRA!AF$46,$E84,0)</f>
        <v>71.626685612788648</v>
      </c>
      <c r="AD84" s="24">
        <f ca="1">OFFSET(OtherTRA!AG$46,$E84,0)</f>
        <v>73.449520426287762</v>
      </c>
      <c r="AE84" s="24">
        <f ca="1">OFFSET(OtherTRA!AH$46,$E84,0)</f>
        <v>75.272355239786876</v>
      </c>
      <c r="AF84" s="24">
        <f ca="1">OFFSET(OtherTRA!AI$46,$E84,0)</f>
        <v>77.09519005328599</v>
      </c>
      <c r="AG84" s="24">
        <f ca="1">OFFSET(OtherTRA!AJ$46,$E84,0)</f>
        <v>78.918024866785103</v>
      </c>
      <c r="AH84" s="24">
        <f ca="1">OFFSET(OtherTRA!AK$46,$E84,0)</f>
        <v>80.740859680284217</v>
      </c>
      <c r="AI84" s="24">
        <f ca="1">OFFSET(OtherTRA!AL$46,$E84,0)</f>
        <v>66.158181172291307</v>
      </c>
      <c r="AJ84" s="24">
        <f ca="1">OFFSET(OtherTRA!AM$46,$E84,0)</f>
        <v>72.591715808170534</v>
      </c>
      <c r="AK84" s="24">
        <f ca="1">OFFSET(OtherTRA!AN$46,$E84,0)</f>
        <v>79.025250444049746</v>
      </c>
      <c r="AL84" s="24">
        <f ca="1">OFFSET(OtherTRA!AO$46,$E84,0)</f>
        <v>79.025250444049746</v>
      </c>
      <c r="AM84" s="24">
        <f ca="1">OFFSET(OtherTRA!AP$46,$E84,0)</f>
        <v>79.025250444049746</v>
      </c>
    </row>
    <row r="85" spans="1:39" s="185" customFormat="1">
      <c r="A85" s="35" t="s">
        <v>609</v>
      </c>
      <c r="B85" s="185">
        <f>[2]EB_2006!$AI$70/1000</f>
        <v>42.764908764899999</v>
      </c>
      <c r="E85" s="128">
        <f>MATCH(F85,OtherTRA!$D$47:$D$51,0)</f>
        <v>3</v>
      </c>
      <c r="F85" s="185" t="str">
        <f t="shared" ref="F85" si="2">A85</f>
        <v>TADJET</v>
      </c>
      <c r="G85" s="24">
        <f ca="1">OFFSET(OtherTRA!J$46,$E85,0)</f>
        <v>20.123000000000001</v>
      </c>
      <c r="H85" s="24">
        <f ca="1">OFFSET(OtherTRA!K$46,$E85,0)</f>
        <v>20.635308466548256</v>
      </c>
      <c r="I85" s="24">
        <f ca="1">OFFSET(OtherTRA!L$46,$E85,0)</f>
        <v>21.147616933096511</v>
      </c>
      <c r="J85" s="24">
        <f ca="1">OFFSET(OtherTRA!M$46,$E85,0)</f>
        <v>21.659925399644763</v>
      </c>
      <c r="K85" s="24">
        <f ca="1">OFFSET(OtherTRA!N$46,$E85,0)</f>
        <v>21.062576729398778</v>
      </c>
      <c r="L85" s="24">
        <f ca="1">OFFSET(OtherTRA!O$46,$E85,0)</f>
        <v>20.465228059152793</v>
      </c>
      <c r="M85" s="24">
        <f ca="1">OFFSET(OtherTRA!P$46,$E85,0)</f>
        <v>21.661262786237145</v>
      </c>
      <c r="N85" s="24">
        <f ca="1">OFFSET(OtherTRA!Q$46,$E85,0)</f>
        <v>22.857297513321498</v>
      </c>
      <c r="O85" s="24">
        <f ca="1">OFFSET(OtherTRA!R$46,$E85,0)</f>
        <v>22.857297513321495</v>
      </c>
      <c r="P85" s="24">
        <f ca="1">OFFSET(OtherTRA!S$46,$E85,0)</f>
        <v>21.445470692717588</v>
      </c>
      <c r="Q85" s="24">
        <f ca="1">OFFSET(OtherTRA!T$46,$E85,0)</f>
        <v>20.033643872113682</v>
      </c>
      <c r="R85" s="24">
        <f ca="1">OFFSET(OtherTRA!U$46,$E85,0)</f>
        <v>18.621817051509776</v>
      </c>
      <c r="S85" s="24">
        <f ca="1">OFFSET(OtherTRA!V$46,$E85,0)</f>
        <v>17.20999023090587</v>
      </c>
      <c r="T85" s="24">
        <f ca="1">OFFSET(OtherTRA!W$46,$E85,0)</f>
        <v>15.798163410301964</v>
      </c>
      <c r="U85" s="24">
        <f ca="1">OFFSET(OtherTRA!X$46,$E85,0)</f>
        <v>14.386336589698058</v>
      </c>
      <c r="V85" s="24">
        <f ca="1">OFFSET(OtherTRA!Y$46,$E85,0)</f>
        <v>12.974509769094151</v>
      </c>
      <c r="W85" s="24">
        <f ca="1">OFFSET(OtherTRA!Z$46,$E85,0)</f>
        <v>11.562682948490245</v>
      </c>
      <c r="X85" s="24">
        <f ca="1">OFFSET(OtherTRA!AA$46,$E85,0)</f>
        <v>10.150856127886339</v>
      </c>
      <c r="Y85" s="24">
        <f ca="1">OFFSET(OtherTRA!AB$46,$E85,0)</f>
        <v>21.445470692717588</v>
      </c>
      <c r="Z85" s="24">
        <f ca="1">OFFSET(OtherTRA!AC$46,$E85,0)</f>
        <v>22.053092362344586</v>
      </c>
      <c r="AA85" s="24">
        <f ca="1">OFFSET(OtherTRA!AD$46,$E85,0)</f>
        <v>22.660714031971583</v>
      </c>
      <c r="AB85" s="24">
        <f ca="1">OFFSET(OtherTRA!AE$46,$E85,0)</f>
        <v>23.268335701598581</v>
      </c>
      <c r="AC85" s="24">
        <f ca="1">OFFSET(OtherTRA!AF$46,$E85,0)</f>
        <v>23.875957371225578</v>
      </c>
      <c r="AD85" s="24">
        <f ca="1">OFFSET(OtherTRA!AG$46,$E85,0)</f>
        <v>24.483579040852575</v>
      </c>
      <c r="AE85" s="24">
        <f ca="1">OFFSET(OtherTRA!AH$46,$E85,0)</f>
        <v>25.091200710479573</v>
      </c>
      <c r="AF85" s="24">
        <f ca="1">OFFSET(OtherTRA!AI$46,$E85,0)</f>
        <v>25.69882238010657</v>
      </c>
      <c r="AG85" s="24">
        <f ca="1">OFFSET(OtherTRA!AJ$46,$E85,0)</f>
        <v>26.306444049733567</v>
      </c>
      <c r="AH85" s="24">
        <f ca="1">OFFSET(OtherTRA!AK$46,$E85,0)</f>
        <v>26.914065719360565</v>
      </c>
      <c r="AI85" s="24">
        <f ca="1">OFFSET(OtherTRA!AL$46,$E85,0)</f>
        <v>22.053092362344586</v>
      </c>
      <c r="AJ85" s="24">
        <f ca="1">OFFSET(OtherTRA!AM$46,$E85,0)</f>
        <v>24.197639431616345</v>
      </c>
      <c r="AK85" s="24">
        <f ca="1">OFFSET(OtherTRA!AN$46,$E85,0)</f>
        <v>26.342186500888104</v>
      </c>
      <c r="AL85" s="24">
        <f ca="1">OFFSET(OtherTRA!AO$46,$E85,0)</f>
        <v>26.342186500888104</v>
      </c>
      <c r="AM85" s="24">
        <f ca="1">OFFSET(OtherTRA!AP$46,$E85,0)</f>
        <v>26.342186500888104</v>
      </c>
    </row>
    <row r="86" spans="1:39">
      <c r="A86" s="35" t="s">
        <v>381</v>
      </c>
      <c r="B86" s="24">
        <f>[2]EB_2006!$AG$68/1000</f>
        <v>0.74474625240000003</v>
      </c>
      <c r="E86" s="130">
        <f>MATCH(F86,OtherTRA!$D$47:$D$51,0)</f>
        <v>4</v>
      </c>
      <c r="F86" s="4" t="str">
        <f t="shared" si="1"/>
        <v>TAOAG</v>
      </c>
      <c r="G86" s="24">
        <f ca="1">OFFSET(OtherTRA!J$46,$E86,0)</f>
        <v>1.0701311035156249</v>
      </c>
      <c r="H86" s="24">
        <f ca="1">OFFSET(OtherTRA!K$46,$E86,0)</f>
        <v>1.0973754122492969</v>
      </c>
      <c r="I86" s="24">
        <f ca="1">OFFSET(OtherTRA!L$46,$E86,0)</f>
        <v>1.1246197209829689</v>
      </c>
      <c r="J86" s="24">
        <f ca="1">OFFSET(OtherTRA!M$46,$E86,0)</f>
        <v>1.1518640297166407</v>
      </c>
      <c r="K86" s="24">
        <f ca="1">OFFSET(OtherTRA!N$46,$E86,0)</f>
        <v>1.163268624070271</v>
      </c>
      <c r="L86" s="24">
        <f ca="1">OFFSET(OtherTRA!O$46,$E86,0)</f>
        <v>1.174673218423901</v>
      </c>
      <c r="M86" s="24">
        <f ca="1">OFFSET(OtherTRA!P$46,$E86,0)</f>
        <v>1.1951064499741548</v>
      </c>
      <c r="N86" s="24">
        <f ca="1">OFFSET(OtherTRA!Q$46,$E86,0)</f>
        <v>1.2155396815244086</v>
      </c>
      <c r="O86" s="24">
        <f ca="1">OFFSET(OtherTRA!R$46,$E86,0)</f>
        <v>1.2155396815244088</v>
      </c>
      <c r="P86" s="24">
        <f ca="1">OFFSET(OtherTRA!S$46,$E86,0)</f>
        <v>1.1404594353630106</v>
      </c>
      <c r="Q86" s="24">
        <f ca="1">OFFSET(OtherTRA!T$46,$E86,0)</f>
        <v>1.0653791892016125</v>
      </c>
      <c r="R86" s="24">
        <f ca="1">OFFSET(OtherTRA!U$46,$E86,0)</f>
        <v>0.99029894304021426</v>
      </c>
      <c r="S86" s="24">
        <f ca="1">OFFSET(OtherTRA!V$46,$E86,0)</f>
        <v>0.91521869687881607</v>
      </c>
      <c r="T86" s="24">
        <f ca="1">OFFSET(OtherTRA!W$46,$E86,0)</f>
        <v>0.84013845071741788</v>
      </c>
      <c r="U86" s="24">
        <f ca="1">OFFSET(OtherTRA!X$46,$E86,0)</f>
        <v>0.76505820455601969</v>
      </c>
      <c r="V86" s="24">
        <f ca="1">OFFSET(OtherTRA!Y$46,$E86,0)</f>
        <v>0.6899779583946215</v>
      </c>
      <c r="W86" s="24">
        <f ca="1">OFFSET(OtherTRA!Z$46,$E86,0)</f>
        <v>0.61489771223322331</v>
      </c>
      <c r="X86" s="24">
        <f ca="1">OFFSET(OtherTRA!AA$46,$E86,0)</f>
        <v>0.53981746607182512</v>
      </c>
      <c r="Y86" s="24">
        <f ca="1">OFFSET(OtherTRA!AB$46,$E86,0)</f>
        <v>1.1404594353630106</v>
      </c>
      <c r="Z86" s="24">
        <f ca="1">OFFSET(OtherTRA!AC$46,$E86,0)</f>
        <v>1.1727724526982959</v>
      </c>
      <c r="AA86" s="24">
        <f ca="1">OFFSET(OtherTRA!AD$46,$E86,0)</f>
        <v>1.2050854700335811</v>
      </c>
      <c r="AB86" s="24">
        <f ca="1">OFFSET(OtherTRA!AE$46,$E86,0)</f>
        <v>1.2373984873688664</v>
      </c>
      <c r="AC86" s="24">
        <f ca="1">OFFSET(OtherTRA!AF$46,$E86,0)</f>
        <v>1.2697115047041516</v>
      </c>
      <c r="AD86" s="24">
        <f ca="1">OFFSET(OtherTRA!AG$46,$E86,0)</f>
        <v>1.3020245220394369</v>
      </c>
      <c r="AE86" s="24">
        <f ca="1">OFFSET(OtherTRA!AH$46,$E86,0)</f>
        <v>1.3343375393747221</v>
      </c>
      <c r="AF86" s="24">
        <f ca="1">OFFSET(OtherTRA!AI$46,$E86,0)</f>
        <v>1.3666505567100073</v>
      </c>
      <c r="AG86" s="24">
        <f ca="1">OFFSET(OtherTRA!AJ$46,$E86,0)</f>
        <v>1.3989635740452926</v>
      </c>
      <c r="AH86" s="24">
        <f ca="1">OFFSET(OtherTRA!AK$46,$E86,0)</f>
        <v>1.4312765913805778</v>
      </c>
      <c r="AI86" s="24">
        <f ca="1">OFFSET(OtherTRA!AL$46,$E86,0)</f>
        <v>1.1727724526982959</v>
      </c>
      <c r="AJ86" s="24">
        <f ca="1">OFFSET(OtherTRA!AM$46,$E86,0)</f>
        <v>1.2868183962345969</v>
      </c>
      <c r="AK86" s="24">
        <f ca="1">OFFSET(OtherTRA!AN$46,$E86,0)</f>
        <v>1.400864339770898</v>
      </c>
      <c r="AL86" s="24">
        <f ca="1">OFFSET(OtherTRA!AO$46,$E86,0)</f>
        <v>1.400864339770898</v>
      </c>
      <c r="AM86" s="24">
        <f ca="1">OFFSET(OtherTRA!AP$46,$E86,0)</f>
        <v>1.400864339770898</v>
      </c>
    </row>
    <row r="87" spans="1:39">
      <c r="A87" s="35" t="s">
        <v>151</v>
      </c>
      <c r="B87" s="24">
        <v>52.28615900487997</v>
      </c>
      <c r="E87" s="129">
        <f>MATCH(F87,FTRA!$D$137:$D$149,0)</f>
        <v>1</v>
      </c>
      <c r="F87" s="4" t="str">
        <f>A87</f>
        <v>TFLCV</v>
      </c>
      <c r="G87" s="24">
        <f ca="1">OFFSET(FTRA!J$136,$E87,0)</f>
        <v>43.11250375056882</v>
      </c>
      <c r="H87" s="24">
        <f ca="1">OFFSET(FTRA!K$136,$E87,0)</f>
        <v>43.541669167045889</v>
      </c>
      <c r="I87" s="24">
        <f ca="1">OFFSET(FTRA!L$136,$E87,0)</f>
        <v>43.970834583522958</v>
      </c>
      <c r="J87" s="24">
        <f ca="1">OFFSET(FTRA!M$136,$E87,0)</f>
        <v>44.4</v>
      </c>
      <c r="K87" s="24">
        <f ca="1">OFFSET(FTRA!N$136,$E87,0)</f>
        <v>44.871410582810697</v>
      </c>
      <c r="L87" s="24">
        <f ca="1">OFFSET(FTRA!O$136,$E87,0)</f>
        <v>45.342821165621402</v>
      </c>
      <c r="M87" s="24">
        <f ca="1">OFFSET(FTRA!P$136,$E87,0)</f>
        <v>45.89020294658313</v>
      </c>
      <c r="N87" s="24">
        <f ca="1">OFFSET(FTRA!Q$136,$E87,0)</f>
        <v>46.437584727544852</v>
      </c>
      <c r="O87" s="24">
        <f ca="1">OFFSET(FTRA!R$136,$E87,0)</f>
        <v>43.690087939484705</v>
      </c>
      <c r="P87" s="24">
        <f ca="1">OFFSET(FTRA!S$136,$E87,0)</f>
        <v>44.420435532296942</v>
      </c>
      <c r="Q87" s="24">
        <f ca="1">OFFSET(FTRA!T$136,$E87,0)</f>
        <v>45.205291125429042</v>
      </c>
      <c r="R87" s="24">
        <f ca="1">OFFSET(FTRA!U$136,$E87,0)</f>
        <v>45.990146718561142</v>
      </c>
      <c r="S87" s="24">
        <f ca="1">OFFSET(FTRA!V$136,$E87,0)</f>
        <v>46.775002311693243</v>
      </c>
      <c r="T87" s="24">
        <f ca="1">OFFSET(FTRA!W$136,$E87,0)</f>
        <v>47.559857904825343</v>
      </c>
      <c r="U87" s="24">
        <f ca="1">OFFSET(FTRA!X$136,$E87,0)</f>
        <v>48.344713497957443</v>
      </c>
      <c r="V87" s="24">
        <f ca="1">OFFSET(FTRA!Y$136,$E87,0)</f>
        <v>49.129569091089543</v>
      </c>
      <c r="W87" s="24">
        <f ca="1">OFFSET(FTRA!Z$136,$E87,0)</f>
        <v>49.914424684221643</v>
      </c>
      <c r="X87" s="24">
        <f ca="1">OFFSET(FTRA!AA$136,$E87,0)</f>
        <v>50.699280277353743</v>
      </c>
      <c r="Y87" s="24">
        <f ca="1">OFFSET(FTRA!AB$136,$E87,0)</f>
        <v>51.484135870485822</v>
      </c>
      <c r="Z87" s="24">
        <f ca="1">OFFSET(FTRA!AC$136,$E87,0)</f>
        <v>52.778865712051847</v>
      </c>
      <c r="AA87" s="24">
        <f ca="1">OFFSET(FTRA!AD$136,$E87,0)</f>
        <v>54.073595553617871</v>
      </c>
      <c r="AB87" s="24">
        <f ca="1">OFFSET(FTRA!AE$136,$E87,0)</f>
        <v>55.368325395183895</v>
      </c>
      <c r="AC87" s="24">
        <f ca="1">OFFSET(FTRA!AF$136,$E87,0)</f>
        <v>56.663055236749919</v>
      </c>
      <c r="AD87" s="24">
        <f ca="1">OFFSET(FTRA!AG$136,$E87,0)</f>
        <v>57.957785078315943</v>
      </c>
      <c r="AE87" s="24">
        <f ca="1">OFFSET(FTRA!AH$136,$E87,0)</f>
        <v>59.252514919881968</v>
      </c>
      <c r="AF87" s="24">
        <f ca="1">OFFSET(FTRA!AI$136,$E87,0)</f>
        <v>60.547244761447992</v>
      </c>
      <c r="AG87" s="24">
        <f ca="1">OFFSET(FTRA!AJ$136,$E87,0)</f>
        <v>61.841974603014016</v>
      </c>
      <c r="AH87" s="24">
        <f ca="1">OFFSET(FTRA!AK$136,$E87,0)</f>
        <v>63.13670444458004</v>
      </c>
      <c r="AI87" s="24">
        <f ca="1">OFFSET(FTRA!AL$136,$E87,0)</f>
        <v>64.431434286146057</v>
      </c>
      <c r="AJ87" s="24">
        <f ca="1">OFFSET(FTRA!AM$136,$E87,0)</f>
        <v>73.873852013619597</v>
      </c>
      <c r="AK87" s="24">
        <f ca="1">OFFSET(FTRA!AN$136,$E87,0)</f>
        <v>83.316269741093109</v>
      </c>
      <c r="AL87" s="24">
        <f ca="1">OFFSET(FTRA!AO$136,$E87,0)</f>
        <v>83.316269741093109</v>
      </c>
      <c r="AM87" s="24">
        <f ca="1">OFFSET(FTRA!AP$136,$E87,0)</f>
        <v>83.316269741093109</v>
      </c>
    </row>
    <row r="88" spans="1:39">
      <c r="A88" s="35" t="s">
        <v>412</v>
      </c>
      <c r="B88" s="24">
        <v>4.134278411680218</v>
      </c>
      <c r="E88" s="128">
        <f>MATCH(F88,FTRA!$D$137:$D$149,0)</f>
        <v>2</v>
      </c>
      <c r="F88" s="4" t="str">
        <f>A88</f>
        <v>TFHCV1</v>
      </c>
      <c r="G88" s="24">
        <f ca="1">OFFSET(FTRA!J$136,$E88,0)</f>
        <v>3.310563752317667</v>
      </c>
      <c r="H88" s="24">
        <f ca="1">OFFSET(FTRA!K$136,$E88,0)</f>
        <v>3.3405637523176668</v>
      </c>
      <c r="I88" s="24">
        <f ca="1">OFFSET(FTRA!L$136,$E88,0)</f>
        <v>3.3705637523176666</v>
      </c>
      <c r="J88" s="24">
        <f ca="1">OFFSET(FTRA!M$136,$E88,0)</f>
        <v>3.4</v>
      </c>
      <c r="K88" s="24">
        <f ca="1">OFFSET(FTRA!N$136,$E88,0)</f>
        <v>3.4249999999999998</v>
      </c>
      <c r="L88" s="24">
        <f ca="1">OFFSET(FTRA!O$136,$E88,0)</f>
        <v>3.45</v>
      </c>
      <c r="M88" s="24">
        <f ca="1">OFFSET(FTRA!P$136,$E88,0)</f>
        <v>3.5076429930568063</v>
      </c>
      <c r="N88" s="24">
        <f ca="1">OFFSET(FTRA!Q$136,$E88,0)</f>
        <v>3.5652859861136119</v>
      </c>
      <c r="O88" s="24">
        <f ca="1">OFFSET(FTRA!R$136,$E88,0)</f>
        <v>3.3543445288256186</v>
      </c>
      <c r="P88" s="24">
        <f ca="1">OFFSET(FTRA!S$136,$E88,0)</f>
        <v>3.4104176009486125</v>
      </c>
      <c r="Q88" s="24">
        <f ca="1">OFFSET(FTRA!T$136,$E88,0)</f>
        <v>3.4706755722392031</v>
      </c>
      <c r="R88" s="24">
        <f ca="1">OFFSET(FTRA!U$136,$E88,0)</f>
        <v>3.5309335435297937</v>
      </c>
      <c r="S88" s="24">
        <f ca="1">OFFSET(FTRA!V$136,$E88,0)</f>
        <v>3.5911915148203843</v>
      </c>
      <c r="T88" s="24">
        <f ca="1">OFFSET(FTRA!W$136,$E88,0)</f>
        <v>3.651449486110975</v>
      </c>
      <c r="U88" s="24">
        <f ca="1">OFFSET(FTRA!X$136,$E88,0)</f>
        <v>3.7117074574015656</v>
      </c>
      <c r="V88" s="24">
        <f ca="1">OFFSET(FTRA!Y$136,$E88,0)</f>
        <v>3.7719654286921562</v>
      </c>
      <c r="W88" s="24">
        <f ca="1">OFFSET(FTRA!Z$136,$E88,0)</f>
        <v>3.8322233999827469</v>
      </c>
      <c r="X88" s="24">
        <f ca="1">OFFSET(FTRA!AA$136,$E88,0)</f>
        <v>3.8924813712733375</v>
      </c>
      <c r="Y88" s="24">
        <f ca="1">OFFSET(FTRA!AB$136,$E88,0)</f>
        <v>3.9527393425639263</v>
      </c>
      <c r="Z88" s="24">
        <f ca="1">OFFSET(FTRA!AC$136,$E88,0)</f>
        <v>4.052143353065798</v>
      </c>
      <c r="AA88" s="24">
        <f ca="1">OFFSET(FTRA!AD$136,$E88,0)</f>
        <v>4.1515473635676701</v>
      </c>
      <c r="AB88" s="24">
        <f ca="1">OFFSET(FTRA!AE$136,$E88,0)</f>
        <v>4.2509513740695422</v>
      </c>
      <c r="AC88" s="24">
        <f ca="1">OFFSET(FTRA!AF$136,$E88,0)</f>
        <v>4.3503553845714142</v>
      </c>
      <c r="AD88" s="24">
        <f ca="1">OFFSET(FTRA!AG$136,$E88,0)</f>
        <v>4.4497593950732863</v>
      </c>
      <c r="AE88" s="24">
        <f ca="1">OFFSET(FTRA!AH$136,$E88,0)</f>
        <v>4.5491634055751584</v>
      </c>
      <c r="AF88" s="24">
        <f ca="1">OFFSET(FTRA!AI$136,$E88,0)</f>
        <v>4.6485674160770305</v>
      </c>
      <c r="AG88" s="24">
        <f ca="1">OFFSET(FTRA!AJ$136,$E88,0)</f>
        <v>4.7479714265789026</v>
      </c>
      <c r="AH88" s="24">
        <f ca="1">OFFSET(FTRA!AK$136,$E88,0)</f>
        <v>4.8473754370807747</v>
      </c>
      <c r="AI88" s="24">
        <f ca="1">OFFSET(FTRA!AL$136,$E88,0)</f>
        <v>4.9467794475826459</v>
      </c>
      <c r="AJ88" s="24">
        <f ca="1">OFFSET(FTRA!AM$136,$E88,0)</f>
        <v>5.6717292871642782</v>
      </c>
      <c r="AK88" s="24">
        <f ca="1">OFFSET(FTRA!AN$136,$E88,0)</f>
        <v>6.3966791267459104</v>
      </c>
      <c r="AL88" s="24">
        <f ca="1">OFFSET(FTRA!AO$136,$E88,0)</f>
        <v>6.3966791267459104</v>
      </c>
      <c r="AM88" s="24">
        <f ca="1">OFFSET(FTRA!AP$136,$E88,0)</f>
        <v>6.3966791267459104</v>
      </c>
    </row>
    <row r="89" spans="1:39" s="4" customFormat="1">
      <c r="A89" s="35" t="s">
        <v>413</v>
      </c>
      <c r="B89" s="24">
        <v>0.80954708483781546</v>
      </c>
      <c r="E89" s="128">
        <f>MATCH(F89,FTRA!$D$137:$D$149,0)</f>
        <v>3</v>
      </c>
      <c r="F89" s="4" t="str">
        <f t="shared" ref="F89:F96" si="3">A89</f>
        <v>TFHCV2</v>
      </c>
      <c r="G89" s="24">
        <f ca="1">OFFSET(FTRA!J$136,$E89,0)</f>
        <v>0.6547839540708813</v>
      </c>
      <c r="H89" s="24">
        <f ca="1">OFFSET(FTRA!K$136,$E89,0)</f>
        <v>0.67123078144835724</v>
      </c>
      <c r="I89" s="24">
        <f ca="1">OFFSET(FTRA!L$136,$E89,0)</f>
        <v>0.68767760882583318</v>
      </c>
      <c r="J89" s="24">
        <f ca="1">OFFSET(FTRA!M$136,$E89,0)</f>
        <v>0.704124436203308</v>
      </c>
      <c r="K89" s="24">
        <f ca="1">OFFSET(FTRA!N$136,$E89,0)</f>
        <v>0.72006693722491655</v>
      </c>
      <c r="L89" s="24">
        <f ca="1">OFFSET(FTRA!O$136,$E89,0)</f>
        <v>0.73600943824652509</v>
      </c>
      <c r="M89" s="24">
        <f ca="1">OFFSET(FTRA!P$136,$E89,0)</f>
        <v>0.72064702356147514</v>
      </c>
      <c r="N89" s="24">
        <f ca="1">OFFSET(FTRA!Q$136,$E89,0)</f>
        <v>0.70528460887642519</v>
      </c>
      <c r="O89" s="24">
        <f ca="1">OFFSET(FTRA!R$136,$E89,0)</f>
        <v>0.66355618546841733</v>
      </c>
      <c r="P89" s="24">
        <f ca="1">OFFSET(FTRA!S$136,$E89,0)</f>
        <v>0.6746485564296244</v>
      </c>
      <c r="Q89" s="24">
        <f ca="1">OFFSET(FTRA!T$136,$E89,0)</f>
        <v>0.68656878383323239</v>
      </c>
      <c r="R89" s="24">
        <f ca="1">OFFSET(FTRA!U$136,$E89,0)</f>
        <v>0.69848901123684037</v>
      </c>
      <c r="S89" s="24">
        <f ca="1">OFFSET(FTRA!V$136,$E89,0)</f>
        <v>0.71040923864044836</v>
      </c>
      <c r="T89" s="24">
        <f ca="1">OFFSET(FTRA!W$136,$E89,0)</f>
        <v>0.72232946604405635</v>
      </c>
      <c r="U89" s="24">
        <f ca="1">OFFSET(FTRA!X$136,$E89,0)</f>
        <v>0.73424969344766433</v>
      </c>
      <c r="V89" s="24">
        <f ca="1">OFFSET(FTRA!Y$136,$E89,0)</f>
        <v>0.74616992085127232</v>
      </c>
      <c r="W89" s="24">
        <f ca="1">OFFSET(FTRA!Z$136,$E89,0)</f>
        <v>0.7580901482548803</v>
      </c>
      <c r="X89" s="24">
        <f ca="1">OFFSET(FTRA!AA$136,$E89,0)</f>
        <v>0.77001037565848829</v>
      </c>
      <c r="Y89" s="24">
        <f ca="1">OFFSET(FTRA!AB$136,$E89,0)</f>
        <v>0.78193060306209605</v>
      </c>
      <c r="Z89" s="24">
        <f ca="1">OFFSET(FTRA!AC$136,$E89,0)</f>
        <v>0.8015946970339749</v>
      </c>
      <c r="AA89" s="24">
        <f ca="1">OFFSET(FTRA!AD$136,$E89,0)</f>
        <v>0.82125879100585375</v>
      </c>
      <c r="AB89" s="24">
        <f ca="1">OFFSET(FTRA!AE$136,$E89,0)</f>
        <v>0.8409228849777326</v>
      </c>
      <c r="AC89" s="24">
        <f ca="1">OFFSET(FTRA!AF$136,$E89,0)</f>
        <v>0.86058697894961145</v>
      </c>
      <c r="AD89" s="24">
        <f ca="1">OFFSET(FTRA!AG$136,$E89,0)</f>
        <v>0.8802510729214903</v>
      </c>
      <c r="AE89" s="24">
        <f ca="1">OFFSET(FTRA!AH$136,$E89,0)</f>
        <v>0.89991516689336915</v>
      </c>
      <c r="AF89" s="24">
        <f ca="1">OFFSET(FTRA!AI$136,$E89,0)</f>
        <v>0.91957926086524799</v>
      </c>
      <c r="AG89" s="24">
        <f ca="1">OFFSET(FTRA!AJ$136,$E89,0)</f>
        <v>0.93924335483712684</v>
      </c>
      <c r="AH89" s="24">
        <f ca="1">OFFSET(FTRA!AK$136,$E89,0)</f>
        <v>0.95890744880900569</v>
      </c>
      <c r="AI89" s="24">
        <f ca="1">OFFSET(FTRA!AL$136,$E89,0)</f>
        <v>0.97857154278088487</v>
      </c>
      <c r="AJ89" s="24">
        <f ca="1">OFFSET(FTRA!AM$136,$E89,0)</f>
        <v>1.1219810661840002</v>
      </c>
      <c r="AK89" s="24">
        <f ca="1">OFFSET(FTRA!AN$136,$E89,0)</f>
        <v>1.2653905895871154</v>
      </c>
      <c r="AL89" s="24">
        <f ca="1">OFFSET(FTRA!AO$136,$E89,0)</f>
        <v>1.2653905895871154</v>
      </c>
      <c r="AM89" s="24">
        <f ca="1">OFFSET(FTRA!AP$136,$E89,0)</f>
        <v>1.2653905895871154</v>
      </c>
    </row>
    <row r="90" spans="1:39" s="4" customFormat="1">
      <c r="A90" s="35" t="s">
        <v>414</v>
      </c>
      <c r="B90" s="24">
        <v>2.7195831056144888</v>
      </c>
      <c r="E90" s="128">
        <f>MATCH(F90,FTRA!$D$137:$D$149,0)</f>
        <v>4</v>
      </c>
      <c r="F90" s="4" t="str">
        <f t="shared" si="3"/>
        <v>TFHCV3</v>
      </c>
      <c r="G90" s="24">
        <f ca="1">OFFSET(FTRA!J$136,$E90,0)</f>
        <v>2.7114063478211388</v>
      </c>
      <c r="H90" s="24">
        <f ca="1">OFFSET(FTRA!K$136,$E90,0)</f>
        <v>2.7742708985474289</v>
      </c>
      <c r="I90" s="24">
        <f ca="1">OFFSET(FTRA!L$136,$E90,0)</f>
        <v>2.8371354492737191</v>
      </c>
      <c r="J90" s="24">
        <f ca="1">OFFSET(FTRA!M$136,$E90,0)</f>
        <v>2.9</v>
      </c>
      <c r="K90" s="24">
        <f ca="1">OFFSET(FTRA!N$136,$E90,0)</f>
        <v>2.9652984627095749</v>
      </c>
      <c r="L90" s="24">
        <f ca="1">OFFSET(FTRA!O$136,$E90,0)</f>
        <v>3.0305969254191498</v>
      </c>
      <c r="M90" s="24">
        <f ca="1">OFFSET(FTRA!P$136,$E90,0)</f>
        <v>2.9755611597709288</v>
      </c>
      <c r="N90" s="24">
        <f ca="1">OFFSET(FTRA!Q$136,$E90,0)</f>
        <v>2.9205253941227078</v>
      </c>
      <c r="O90" s="24">
        <f ca="1">OFFSET(FTRA!R$136,$E90,0)</f>
        <v>2.7477314345126453</v>
      </c>
      <c r="P90" s="24">
        <f ca="1">OFFSET(FTRA!S$136,$E90,0)</f>
        <v>2.7936640277743123</v>
      </c>
      <c r="Q90" s="24">
        <f ca="1">OFFSET(FTRA!T$136,$E90,0)</f>
        <v>2.8430247062831131</v>
      </c>
      <c r="R90" s="24">
        <f ca="1">OFFSET(FTRA!U$136,$E90,0)</f>
        <v>2.8923853847919139</v>
      </c>
      <c r="S90" s="24">
        <f ca="1">OFFSET(FTRA!V$136,$E90,0)</f>
        <v>2.9417460633007146</v>
      </c>
      <c r="T90" s="24">
        <f ca="1">OFFSET(FTRA!W$136,$E90,0)</f>
        <v>2.9911067418095154</v>
      </c>
      <c r="U90" s="24">
        <f ca="1">OFFSET(FTRA!X$136,$E90,0)</f>
        <v>3.0404674203183162</v>
      </c>
      <c r="V90" s="24">
        <f ca="1">OFFSET(FTRA!Y$136,$E90,0)</f>
        <v>3.089828098827117</v>
      </c>
      <c r="W90" s="24">
        <f ca="1">OFFSET(FTRA!Z$136,$E90,0)</f>
        <v>3.1391887773359177</v>
      </c>
      <c r="X90" s="24">
        <f ca="1">OFFSET(FTRA!AA$136,$E90,0)</f>
        <v>3.1885494558447185</v>
      </c>
      <c r="Y90" s="24">
        <f ca="1">OFFSET(FTRA!AB$136,$E90,0)</f>
        <v>3.2379101343535184</v>
      </c>
      <c r="Z90" s="24">
        <f ca="1">OFFSET(FTRA!AC$136,$E90,0)</f>
        <v>3.3193375256144413</v>
      </c>
      <c r="AA90" s="24">
        <f ca="1">OFFSET(FTRA!AD$136,$E90,0)</f>
        <v>3.4007649168753642</v>
      </c>
      <c r="AB90" s="24">
        <f ca="1">OFFSET(FTRA!AE$136,$E90,0)</f>
        <v>3.4821923081362871</v>
      </c>
      <c r="AC90" s="24">
        <f ca="1">OFFSET(FTRA!AF$136,$E90,0)</f>
        <v>3.56361969939721</v>
      </c>
      <c r="AD90" s="24">
        <f ca="1">OFFSET(FTRA!AG$136,$E90,0)</f>
        <v>3.6450470906581329</v>
      </c>
      <c r="AE90" s="24">
        <f ca="1">OFFSET(FTRA!AH$136,$E90,0)</f>
        <v>3.7264744819190558</v>
      </c>
      <c r="AF90" s="24">
        <f ca="1">OFFSET(FTRA!AI$136,$E90,0)</f>
        <v>3.8079018731799787</v>
      </c>
      <c r="AG90" s="24">
        <f ca="1">OFFSET(FTRA!AJ$136,$E90,0)</f>
        <v>3.8893292644409017</v>
      </c>
      <c r="AH90" s="24">
        <f ca="1">OFFSET(FTRA!AK$136,$E90,0)</f>
        <v>3.9707566557018246</v>
      </c>
      <c r="AI90" s="24">
        <f ca="1">OFFSET(FTRA!AL$136,$E90,0)</f>
        <v>4.0521840469627461</v>
      </c>
      <c r="AJ90" s="24">
        <f ca="1">OFFSET(FTRA!AM$136,$E90,0)</f>
        <v>4.6460310550876853</v>
      </c>
      <c r="AK90" s="24">
        <f ca="1">OFFSET(FTRA!AN$136,$E90,0)</f>
        <v>5.2398780632126236</v>
      </c>
      <c r="AL90" s="24">
        <f ca="1">OFFSET(FTRA!AO$136,$E90,0)</f>
        <v>5.2398780632126236</v>
      </c>
      <c r="AM90" s="24">
        <f ca="1">OFFSET(FTRA!AP$136,$E90,0)</f>
        <v>5.2398780632126236</v>
      </c>
    </row>
    <row r="91" spans="1:39" s="4" customFormat="1">
      <c r="A91" s="35" t="s">
        <v>415</v>
      </c>
      <c r="B91" s="24">
        <v>0.66594475210557558</v>
      </c>
      <c r="E91" s="128">
        <f>MATCH(F91,FTRA!$D$137:$D$149,0)</f>
        <v>5</v>
      </c>
      <c r="F91" s="4" t="str">
        <f t="shared" si="3"/>
        <v>TFHCV4</v>
      </c>
      <c r="G91" s="24">
        <f ca="1">OFFSET(FTRA!J$136,$E91,0)</f>
        <v>0.57023972229676956</v>
      </c>
      <c r="H91" s="24">
        <f ca="1">OFFSET(FTRA!K$136,$E91,0)</f>
        <v>0.55900373411704862</v>
      </c>
      <c r="I91" s="24">
        <f ca="1">OFFSET(FTRA!L$136,$E91,0)</f>
        <v>0.54776774593732769</v>
      </c>
      <c r="J91" s="24">
        <f ca="1">OFFSET(FTRA!M$136,$E91,0)</f>
        <v>0.53653175775760331</v>
      </c>
      <c r="K91" s="24">
        <f ca="1">OFFSET(FTRA!N$136,$E91,0)</f>
        <v>0.54016937887880168</v>
      </c>
      <c r="L91" s="24">
        <f ca="1">OFFSET(FTRA!O$136,$E91,0)</f>
        <v>0.54380700000000004</v>
      </c>
      <c r="M91" s="24">
        <f ca="1">OFFSET(FTRA!P$136,$E91,0)</f>
        <v>0.57901342305588788</v>
      </c>
      <c r="N91" s="24">
        <f ca="1">OFFSET(FTRA!Q$136,$E91,0)</f>
        <v>0.6142198461117756</v>
      </c>
      <c r="O91" s="24">
        <f ca="1">OFFSET(FTRA!R$136,$E91,0)</f>
        <v>0.57787930290187206</v>
      </c>
      <c r="P91" s="24">
        <f ca="1">OFFSET(FTRA!S$136,$E91,0)</f>
        <v>0.58753945186735324</v>
      </c>
      <c r="Q91" s="24">
        <f ca="1">OFFSET(FTRA!T$136,$E91,0)</f>
        <v>0.59792056631294621</v>
      </c>
      <c r="R91" s="24">
        <f ca="1">OFFSET(FTRA!U$136,$E91,0)</f>
        <v>0.60830168075853919</v>
      </c>
      <c r="S91" s="24">
        <f ca="1">OFFSET(FTRA!V$136,$E91,0)</f>
        <v>0.61868279520413216</v>
      </c>
      <c r="T91" s="24">
        <f ca="1">OFFSET(FTRA!W$136,$E91,0)</f>
        <v>0.62906390964972514</v>
      </c>
      <c r="U91" s="24">
        <f ca="1">OFFSET(FTRA!X$136,$E91,0)</f>
        <v>0.63944502409531812</v>
      </c>
      <c r="V91" s="24">
        <f ca="1">OFFSET(FTRA!Y$136,$E91,0)</f>
        <v>0.64982613854091109</v>
      </c>
      <c r="W91" s="24">
        <f ca="1">OFFSET(FTRA!Z$136,$E91,0)</f>
        <v>0.66020725298650407</v>
      </c>
      <c r="X91" s="24">
        <f ca="1">OFFSET(FTRA!AA$136,$E91,0)</f>
        <v>0.67058836743209704</v>
      </c>
      <c r="Y91" s="24">
        <f ca="1">OFFSET(FTRA!AB$136,$E91,0)</f>
        <v>0.68096948187769002</v>
      </c>
      <c r="Z91" s="24">
        <f ca="1">OFFSET(FTRA!AC$136,$E91,0)</f>
        <v>0.69809459225345205</v>
      </c>
      <c r="AA91" s="24">
        <f ca="1">OFFSET(FTRA!AD$136,$E91,0)</f>
        <v>0.71521970262921408</v>
      </c>
      <c r="AB91" s="24">
        <f ca="1">OFFSET(FTRA!AE$136,$E91,0)</f>
        <v>0.73234481300497611</v>
      </c>
      <c r="AC91" s="24">
        <f ca="1">OFFSET(FTRA!AF$136,$E91,0)</f>
        <v>0.74946992338073815</v>
      </c>
      <c r="AD91" s="24">
        <f ca="1">OFFSET(FTRA!AG$136,$E91,0)</f>
        <v>0.76659503375650018</v>
      </c>
      <c r="AE91" s="24">
        <f ca="1">OFFSET(FTRA!AH$136,$E91,0)</f>
        <v>0.78372014413226221</v>
      </c>
      <c r="AF91" s="24">
        <f ca="1">OFFSET(FTRA!AI$136,$E91,0)</f>
        <v>0.80084525450802424</v>
      </c>
      <c r="AG91" s="24">
        <f ca="1">OFFSET(FTRA!AJ$136,$E91,0)</f>
        <v>0.81797036488378627</v>
      </c>
      <c r="AH91" s="24">
        <f ca="1">OFFSET(FTRA!AK$136,$E91,0)</f>
        <v>0.8350954752595483</v>
      </c>
      <c r="AI91" s="24">
        <f ca="1">OFFSET(FTRA!AL$136,$E91,0)</f>
        <v>0.85222058563531045</v>
      </c>
      <c r="AJ91" s="24">
        <f ca="1">OFFSET(FTRA!AM$136,$E91,0)</f>
        <v>0.97711339385347207</v>
      </c>
      <c r="AK91" s="24">
        <f ca="1">OFFSET(FTRA!AN$136,$E91,0)</f>
        <v>1.1020062020716337</v>
      </c>
      <c r="AL91" s="24">
        <f ca="1">OFFSET(FTRA!AO$136,$E91,0)</f>
        <v>1.1020062020716337</v>
      </c>
      <c r="AM91" s="24">
        <f ca="1">OFFSET(FTRA!AP$136,$E91,0)</f>
        <v>1.1020062020716337</v>
      </c>
    </row>
    <row r="92" spans="1:39" s="4" customFormat="1">
      <c r="A92" s="35" t="s">
        <v>416</v>
      </c>
      <c r="B92" s="24">
        <v>0.33457448391316724</v>
      </c>
      <c r="E92" s="128">
        <f>MATCH(F92,FTRA!$D$137:$D$149,0)</f>
        <v>6</v>
      </c>
      <c r="F92" s="4" t="str">
        <f t="shared" si="3"/>
        <v>TFHCV5</v>
      </c>
      <c r="G92" s="24">
        <f ca="1">OFFSET(FTRA!J$136,$E92,0)</f>
        <v>0.27326501935541331</v>
      </c>
      <c r="H92" s="24">
        <f ca="1">OFFSET(FTRA!K$136,$E92,0)</f>
        <v>0.27740453823694228</v>
      </c>
      <c r="I92" s="24">
        <f ca="1">OFFSET(FTRA!L$136,$E92,0)</f>
        <v>0.28154405711847125</v>
      </c>
      <c r="J92" s="24">
        <f ca="1">OFFSET(FTRA!M$136,$E92,0)</f>
        <v>0.28568357599999999</v>
      </c>
      <c r="K92" s="24">
        <f ca="1">OFFSET(FTRA!N$136,$E92,0)</f>
        <v>0.2876204765</v>
      </c>
      <c r="L92" s="24">
        <f ca="1">OFFSET(FTRA!O$136,$E92,0)</f>
        <v>0.289557377</v>
      </c>
      <c r="M92" s="24">
        <f ca="1">OFFSET(FTRA!P$136,$E92,0)</f>
        <v>0.29194907279047111</v>
      </c>
      <c r="N92" s="24">
        <f ca="1">OFFSET(FTRA!Q$136,$E92,0)</f>
        <v>0.29434076858094221</v>
      </c>
      <c r="O92" s="24">
        <f ca="1">OFFSET(FTRA!R$136,$E92,0)</f>
        <v>0.27692598869917107</v>
      </c>
      <c r="P92" s="24">
        <f ca="1">OFFSET(FTRA!S$136,$E92,0)</f>
        <v>0.28155523617319139</v>
      </c>
      <c r="Q92" s="24">
        <f ca="1">OFFSET(FTRA!T$136,$E92,0)</f>
        <v>0.28652997807380803</v>
      </c>
      <c r="R92" s="24">
        <f ca="1">OFFSET(FTRA!U$136,$E92,0)</f>
        <v>0.29150471997442468</v>
      </c>
      <c r="S92" s="24">
        <f ca="1">OFFSET(FTRA!V$136,$E92,0)</f>
        <v>0.29647946187504132</v>
      </c>
      <c r="T92" s="24">
        <f ca="1">OFFSET(FTRA!W$136,$E92,0)</f>
        <v>0.30145420377565796</v>
      </c>
      <c r="U92" s="24">
        <f ca="1">OFFSET(FTRA!X$136,$E92,0)</f>
        <v>0.3064289456762746</v>
      </c>
      <c r="V92" s="24">
        <f ca="1">OFFSET(FTRA!Y$136,$E92,0)</f>
        <v>0.31140368757689124</v>
      </c>
      <c r="W92" s="24">
        <f ca="1">OFFSET(FTRA!Z$136,$E92,0)</f>
        <v>0.31637842947750788</v>
      </c>
      <c r="X92" s="24">
        <f ca="1">OFFSET(FTRA!AA$136,$E92,0)</f>
        <v>0.32135317137812452</v>
      </c>
      <c r="Y92" s="24">
        <f ca="1">OFFSET(FTRA!AB$136,$E92,0)</f>
        <v>0.32632791327874128</v>
      </c>
      <c r="Z92" s="24">
        <f ca="1">OFFSET(FTRA!AC$136,$E92,0)</f>
        <v>0.33453445069680765</v>
      </c>
      <c r="AA92" s="24">
        <f ca="1">OFFSET(FTRA!AD$136,$E92,0)</f>
        <v>0.34274098811487402</v>
      </c>
      <c r="AB92" s="24">
        <f ca="1">OFFSET(FTRA!AE$136,$E92,0)</f>
        <v>0.3509475255329404</v>
      </c>
      <c r="AC92" s="24">
        <f ca="1">OFFSET(FTRA!AF$136,$E92,0)</f>
        <v>0.35915406295100677</v>
      </c>
      <c r="AD92" s="24">
        <f ca="1">OFFSET(FTRA!AG$136,$E92,0)</f>
        <v>0.36736060036907314</v>
      </c>
      <c r="AE92" s="24">
        <f ca="1">OFFSET(FTRA!AH$136,$E92,0)</f>
        <v>0.37556713778713952</v>
      </c>
      <c r="AF92" s="24">
        <f ca="1">OFFSET(FTRA!AI$136,$E92,0)</f>
        <v>0.38377367520520589</v>
      </c>
      <c r="AG92" s="24">
        <f ca="1">OFFSET(FTRA!AJ$136,$E92,0)</f>
        <v>0.39198021262327226</v>
      </c>
      <c r="AH92" s="24">
        <f ca="1">OFFSET(FTRA!AK$136,$E92,0)</f>
        <v>0.40018675004133863</v>
      </c>
      <c r="AI92" s="24">
        <f ca="1">OFFSET(FTRA!AL$136,$E92,0)</f>
        <v>0.40839328745940517</v>
      </c>
      <c r="AJ92" s="24">
        <f ca="1">OFFSET(FTRA!AM$136,$E92,0)</f>
        <v>0.46824326689897561</v>
      </c>
      <c r="AK92" s="24">
        <f ca="1">OFFSET(FTRA!AN$136,$E92,0)</f>
        <v>0.52809324633854615</v>
      </c>
      <c r="AL92" s="24">
        <f ca="1">OFFSET(FTRA!AO$136,$E92,0)</f>
        <v>0.52809324633854615</v>
      </c>
      <c r="AM92" s="24">
        <f ca="1">OFFSET(FTRA!AP$136,$E92,0)</f>
        <v>0.52809324633854615</v>
      </c>
    </row>
    <row r="93" spans="1:39" s="4" customFormat="1">
      <c r="A93" s="35" t="s">
        <v>417</v>
      </c>
      <c r="B93" s="24">
        <v>4.2080971938397562</v>
      </c>
      <c r="E93" s="128">
        <f>MATCH(F93,FTRA!$D$137:$D$149,0)</f>
        <v>7</v>
      </c>
      <c r="F93" s="4" t="str">
        <f t="shared" si="3"/>
        <v>TFHCV6</v>
      </c>
      <c r="G93" s="24">
        <f ca="1">OFFSET(FTRA!J$136,$E93,0)</f>
        <v>5.0361375113209643</v>
      </c>
      <c r="H93" s="24">
        <f ca="1">OFFSET(FTRA!K$136,$E93,0)</f>
        <v>5.3607583408806443</v>
      </c>
      <c r="I93" s="24">
        <f ca="1">OFFSET(FTRA!L$136,$E93,0)</f>
        <v>5.6853791704403243</v>
      </c>
      <c r="J93" s="24">
        <f ca="1">OFFSET(FTRA!M$136,$E93,0)</f>
        <v>6.01</v>
      </c>
      <c r="K93" s="24">
        <f ca="1">OFFSET(FTRA!N$136,$E93,0)</f>
        <v>6.3253919226144593</v>
      </c>
      <c r="L93" s="24">
        <f ca="1">OFFSET(FTRA!O$136,$E93,0)</f>
        <v>6.6407838452289196</v>
      </c>
      <c r="M93" s="24">
        <f ca="1">OFFSET(FTRA!P$136,$E93,0)</f>
        <v>6.0326684321693991</v>
      </c>
      <c r="N93" s="24">
        <f ca="1">OFFSET(FTRA!Q$136,$E93,0)</f>
        <v>5.4245530191098785</v>
      </c>
      <c r="O93" s="24">
        <f ca="1">OFFSET(FTRA!R$136,$E93,0)</f>
        <v>5.1036073436594931</v>
      </c>
      <c r="P93" s="24">
        <f ca="1">OFFSET(FTRA!S$136,$E93,0)</f>
        <v>5.188922057222519</v>
      </c>
      <c r="Q93" s="24">
        <f ca="1">OFFSET(FTRA!T$136,$E93,0)</f>
        <v>5.2806040601145563</v>
      </c>
      <c r="R93" s="24">
        <f ca="1">OFFSET(FTRA!U$136,$E93,0)</f>
        <v>5.3722860630065936</v>
      </c>
      <c r="S93" s="24">
        <f ca="1">OFFSET(FTRA!V$136,$E93,0)</f>
        <v>5.4639680658986309</v>
      </c>
      <c r="T93" s="24">
        <f ca="1">OFFSET(FTRA!W$136,$E93,0)</f>
        <v>5.5556500687906683</v>
      </c>
      <c r="U93" s="24">
        <f ca="1">OFFSET(FTRA!X$136,$E93,0)</f>
        <v>5.6473320716827056</v>
      </c>
      <c r="V93" s="24">
        <f ca="1">OFFSET(FTRA!Y$136,$E93,0)</f>
        <v>5.7390140745747429</v>
      </c>
      <c r="W93" s="24">
        <f ca="1">OFFSET(FTRA!Z$136,$E93,0)</f>
        <v>5.8306960774667802</v>
      </c>
      <c r="X93" s="24">
        <f ca="1">OFFSET(FTRA!AA$136,$E93,0)</f>
        <v>5.9223780803588175</v>
      </c>
      <c r="Y93" s="24">
        <f ca="1">OFFSET(FTRA!AB$136,$E93,0)</f>
        <v>6.0140600832508548</v>
      </c>
      <c r="Z93" s="24">
        <f ca="1">OFFSET(FTRA!AC$136,$E93,0)</f>
        <v>6.1653024597053019</v>
      </c>
      <c r="AA93" s="24">
        <f ca="1">OFFSET(FTRA!AD$136,$E93,0)</f>
        <v>6.3165448361597489</v>
      </c>
      <c r="AB93" s="24">
        <f ca="1">OFFSET(FTRA!AE$136,$E93,0)</f>
        <v>6.467787212614196</v>
      </c>
      <c r="AC93" s="24">
        <f ca="1">OFFSET(FTRA!AF$136,$E93,0)</f>
        <v>6.619029589068643</v>
      </c>
      <c r="AD93" s="24">
        <f ca="1">OFFSET(FTRA!AG$136,$E93,0)</f>
        <v>6.7702719655230901</v>
      </c>
      <c r="AE93" s="24">
        <f ca="1">OFFSET(FTRA!AH$136,$E93,0)</f>
        <v>6.9215143419775371</v>
      </c>
      <c r="AF93" s="24">
        <f ca="1">OFFSET(FTRA!AI$136,$E93,0)</f>
        <v>7.0727567184319842</v>
      </c>
      <c r="AG93" s="24">
        <f ca="1">OFFSET(FTRA!AJ$136,$E93,0)</f>
        <v>7.2239990948864312</v>
      </c>
      <c r="AH93" s="24">
        <f ca="1">OFFSET(FTRA!AK$136,$E93,0)</f>
        <v>7.3752414713408783</v>
      </c>
      <c r="AI93" s="24">
        <f ca="1">OFFSET(FTRA!AL$136,$E93,0)</f>
        <v>7.5264838477953289</v>
      </c>
      <c r="AJ93" s="24">
        <f ca="1">OFFSET(FTRA!AM$136,$E93,0)</f>
        <v>8.6294890082011193</v>
      </c>
      <c r="AK93" s="24">
        <f ca="1">OFFSET(FTRA!AN$136,$E93,0)</f>
        <v>9.7324941686069124</v>
      </c>
      <c r="AL93" s="24">
        <f ca="1">OFFSET(FTRA!AO$136,$E93,0)</f>
        <v>9.7324941686069124</v>
      </c>
      <c r="AM93" s="24">
        <f ca="1">OFFSET(FTRA!AP$136,$E93,0)</f>
        <v>9.7324941686069124</v>
      </c>
    </row>
    <row r="94" spans="1:39" s="4" customFormat="1">
      <c r="A94" s="35" t="s">
        <v>418</v>
      </c>
      <c r="B94" s="24">
        <v>1.4910262867673953</v>
      </c>
      <c r="E94" s="128">
        <f>MATCH(F94,FTRA!$D$137:$D$149,0)</f>
        <v>8</v>
      </c>
      <c r="F94" s="4" t="str">
        <f t="shared" si="3"/>
        <v>TFHCV7</v>
      </c>
      <c r="G94" s="24">
        <f ca="1">OFFSET(FTRA!J$136,$E94,0)</f>
        <v>1.5653068685251963</v>
      </c>
      <c r="H94" s="24">
        <f ca="1">OFFSET(FTRA!K$136,$E94,0)</f>
        <v>1.6102045790167996</v>
      </c>
      <c r="I94" s="24">
        <f ca="1">OFFSET(FTRA!L$136,$E94,0)</f>
        <v>1.6551022895084029</v>
      </c>
      <c r="J94" s="24">
        <f ca="1">OFFSET(FTRA!M$136,$E94,0)</f>
        <v>1.7</v>
      </c>
      <c r="K94" s="24">
        <f ca="1">OFFSET(FTRA!N$136,$E94,0)</f>
        <v>1.74</v>
      </c>
      <c r="L94" s="24">
        <f ca="1">OFFSET(FTRA!O$136,$E94,0)</f>
        <v>1.78</v>
      </c>
      <c r="M94" s="24">
        <f ca="1">OFFSET(FTRA!P$136,$E94,0)</f>
        <v>1.7330161091118188</v>
      </c>
      <c r="N94" s="24">
        <f ca="1">OFFSET(FTRA!Q$136,$E94,0)</f>
        <v>1.6860322182236378</v>
      </c>
      <c r="O94" s="24">
        <f ca="1">OFFSET(FTRA!R$136,$E94,0)</f>
        <v>1.5862775016225472</v>
      </c>
      <c r="P94" s="24">
        <f ca="1">OFFSET(FTRA!S$136,$E94,0)</f>
        <v>1.6127945907263026</v>
      </c>
      <c r="Q94" s="24">
        <f ca="1">OFFSET(FTRA!T$136,$E94,0)</f>
        <v>1.6412907285947482</v>
      </c>
      <c r="R94" s="24">
        <f ca="1">OFFSET(FTRA!U$136,$E94,0)</f>
        <v>1.6697868664631939</v>
      </c>
      <c r="S94" s="24">
        <f ca="1">OFFSET(FTRA!V$136,$E94,0)</f>
        <v>1.6982830043316395</v>
      </c>
      <c r="T94" s="24">
        <f ca="1">OFFSET(FTRA!W$136,$E94,0)</f>
        <v>1.7267791422000851</v>
      </c>
      <c r="U94" s="24">
        <f ca="1">OFFSET(FTRA!X$136,$E94,0)</f>
        <v>1.7552752800685307</v>
      </c>
      <c r="V94" s="24">
        <f ca="1">OFFSET(FTRA!Y$136,$E94,0)</f>
        <v>1.7837714179369764</v>
      </c>
      <c r="W94" s="24">
        <f ca="1">OFFSET(FTRA!Z$136,$E94,0)</f>
        <v>1.812267555805422</v>
      </c>
      <c r="X94" s="24">
        <f ca="1">OFFSET(FTRA!AA$136,$E94,0)</f>
        <v>1.8407636936738676</v>
      </c>
      <c r="Y94" s="24">
        <f ca="1">OFFSET(FTRA!AB$136,$E94,0)</f>
        <v>1.8692598315423128</v>
      </c>
      <c r="Z94" s="24">
        <f ca="1">OFFSET(FTRA!AC$136,$E94,0)</f>
        <v>1.9162682244116573</v>
      </c>
      <c r="AA94" s="24">
        <f ca="1">OFFSET(FTRA!AD$136,$E94,0)</f>
        <v>1.9632766172810019</v>
      </c>
      <c r="AB94" s="24">
        <f ca="1">OFFSET(FTRA!AE$136,$E94,0)</f>
        <v>2.0102850101503464</v>
      </c>
      <c r="AC94" s="24">
        <f ca="1">OFFSET(FTRA!AF$136,$E94,0)</f>
        <v>2.057293403019691</v>
      </c>
      <c r="AD94" s="24">
        <f ca="1">OFFSET(FTRA!AG$136,$E94,0)</f>
        <v>2.1043017958890355</v>
      </c>
      <c r="AE94" s="24">
        <f ca="1">OFFSET(FTRA!AH$136,$E94,0)</f>
        <v>2.1513101887583801</v>
      </c>
      <c r="AF94" s="24">
        <f ca="1">OFFSET(FTRA!AI$136,$E94,0)</f>
        <v>2.1983185816277246</v>
      </c>
      <c r="AG94" s="24">
        <f ca="1">OFFSET(FTRA!AJ$136,$E94,0)</f>
        <v>2.2453269744970692</v>
      </c>
      <c r="AH94" s="24">
        <f ca="1">OFFSET(FTRA!AK$136,$E94,0)</f>
        <v>2.2923353673664137</v>
      </c>
      <c r="AI94" s="24">
        <f ca="1">OFFSET(FTRA!AL$136,$E94,0)</f>
        <v>2.3393437602357583</v>
      </c>
      <c r="AJ94" s="24">
        <f ca="1">OFFSET(FTRA!AM$136,$E94,0)</f>
        <v>2.6821742627231795</v>
      </c>
      <c r="AK94" s="24">
        <f ca="1">OFFSET(FTRA!AN$136,$E94,0)</f>
        <v>3.0250047652106007</v>
      </c>
      <c r="AL94" s="24">
        <f ca="1">OFFSET(FTRA!AO$136,$E94,0)</f>
        <v>3.0250047652106007</v>
      </c>
      <c r="AM94" s="24">
        <f ca="1">OFFSET(FTRA!AP$136,$E94,0)</f>
        <v>3.0250047652106007</v>
      </c>
    </row>
    <row r="95" spans="1:39" s="4" customFormat="1">
      <c r="A95" s="35" t="s">
        <v>419</v>
      </c>
      <c r="B95" s="24">
        <v>0</v>
      </c>
      <c r="E95" s="128">
        <f>MATCH(F95,FTRA!$D$137:$D$149,0)</f>
        <v>9</v>
      </c>
      <c r="F95" s="4" t="str">
        <f t="shared" si="3"/>
        <v>TFHCV8</v>
      </c>
      <c r="G95" s="24">
        <f ca="1">OFFSET(FTRA!J$136,$E95,0)</f>
        <v>5.8486156921973939E-2</v>
      </c>
      <c r="H95" s="24">
        <f ca="1">OFFSET(FTRA!K$136,$E95,0)</f>
        <v>6.5622085483256903E-2</v>
      </c>
      <c r="I95" s="24">
        <f ca="1">OFFSET(FTRA!L$136,$E95,0)</f>
        <v>7.2758014044539868E-2</v>
      </c>
      <c r="J95" s="24">
        <f ca="1">OFFSET(FTRA!M$136,$E95,0)</f>
        <v>7.9893942605822804E-2</v>
      </c>
      <c r="K95" s="24">
        <f ca="1">OFFSET(FTRA!N$136,$E95,0)</f>
        <v>9.0970063028559395E-2</v>
      </c>
      <c r="L95" s="24">
        <f ca="1">OFFSET(FTRA!O$136,$E95,0)</f>
        <v>0.102046183451296</v>
      </c>
      <c r="M95" s="24">
        <f ca="1">OFFSET(FTRA!P$136,$E95,0)</f>
        <v>8.2521562368481099E-2</v>
      </c>
      <c r="N95" s="24">
        <f ca="1">OFFSET(FTRA!Q$136,$E95,0)</f>
        <v>6.29969412856662E-2</v>
      </c>
      <c r="O95" s="24">
        <f ca="1">OFFSET(FTRA!R$136,$E95,0)</f>
        <v>5.9269704073492357E-2</v>
      </c>
      <c r="P95" s="24">
        <f ca="1">OFFSET(FTRA!S$136,$E95,0)</f>
        <v>6.0260489117384367E-2</v>
      </c>
      <c r="Q95" s="24">
        <f ca="1">OFFSET(FTRA!T$136,$E95,0)</f>
        <v>6.1325219378623425E-2</v>
      </c>
      <c r="R95" s="24">
        <f ca="1">OFFSET(FTRA!U$136,$E95,0)</f>
        <v>6.2389949639862483E-2</v>
      </c>
      <c r="S95" s="24">
        <f ca="1">OFFSET(FTRA!V$136,$E95,0)</f>
        <v>6.3454679901101541E-2</v>
      </c>
      <c r="T95" s="24">
        <f ca="1">OFFSET(FTRA!W$136,$E95,0)</f>
        <v>6.4519410162340599E-2</v>
      </c>
      <c r="U95" s="24">
        <f ca="1">OFFSET(FTRA!X$136,$E95,0)</f>
        <v>6.5584140423579657E-2</v>
      </c>
      <c r="V95" s="24">
        <f ca="1">OFFSET(FTRA!Y$136,$E95,0)</f>
        <v>6.6648870684818715E-2</v>
      </c>
      <c r="W95" s="24">
        <f ca="1">OFFSET(FTRA!Z$136,$E95,0)</f>
        <v>6.7713600946057773E-2</v>
      </c>
      <c r="X95" s="24">
        <f ca="1">OFFSET(FTRA!AA$136,$E95,0)</f>
        <v>6.8778331207296831E-2</v>
      </c>
      <c r="Y95" s="24">
        <f ca="1">OFFSET(FTRA!AB$136,$E95,0)</f>
        <v>6.9843061468535861E-2</v>
      </c>
      <c r="Z95" s="24">
        <f ca="1">OFFSET(FTRA!AC$136,$E95,0)</f>
        <v>7.1599483993274843E-2</v>
      </c>
      <c r="AA95" s="24">
        <f ca="1">OFFSET(FTRA!AD$136,$E95,0)</f>
        <v>7.3355906518013825E-2</v>
      </c>
      <c r="AB95" s="24">
        <f ca="1">OFFSET(FTRA!AE$136,$E95,0)</f>
        <v>7.5112329042752807E-2</v>
      </c>
      <c r="AC95" s="24">
        <f ca="1">OFFSET(FTRA!AF$136,$E95,0)</f>
        <v>7.6868751567491789E-2</v>
      </c>
      <c r="AD95" s="24">
        <f ca="1">OFFSET(FTRA!AG$136,$E95,0)</f>
        <v>7.8625174092230771E-2</v>
      </c>
      <c r="AE95" s="24">
        <f ca="1">OFFSET(FTRA!AH$136,$E95,0)</f>
        <v>8.0381596616969753E-2</v>
      </c>
      <c r="AF95" s="24">
        <f ca="1">OFFSET(FTRA!AI$136,$E95,0)</f>
        <v>8.2138019141708735E-2</v>
      </c>
      <c r="AG95" s="24">
        <f ca="1">OFFSET(FTRA!AJ$136,$E95,0)</f>
        <v>8.3894441666447717E-2</v>
      </c>
      <c r="AH95" s="24">
        <f ca="1">OFFSET(FTRA!AK$136,$E95,0)</f>
        <v>8.5650864191186699E-2</v>
      </c>
      <c r="AI95" s="24">
        <f ca="1">OFFSET(FTRA!AL$136,$E95,0)</f>
        <v>8.7407286715925681E-2</v>
      </c>
      <c r="AJ95" s="24">
        <f ca="1">OFFSET(FTRA!AM$136,$E95,0)</f>
        <v>0.10021681241934899</v>
      </c>
      <c r="AK95" s="24">
        <f ca="1">OFFSET(FTRA!AN$136,$E95,0)</f>
        <v>0.1130263381227723</v>
      </c>
      <c r="AL95" s="24">
        <f ca="1">OFFSET(FTRA!AO$136,$E95,0)</f>
        <v>0.1130263381227723</v>
      </c>
      <c r="AM95" s="24">
        <f ca="1">OFFSET(FTRA!AP$136,$E95,0)</f>
        <v>0.1130263381227723</v>
      </c>
    </row>
    <row r="96" spans="1:39">
      <c r="A96" s="35" t="s">
        <v>420</v>
      </c>
      <c r="B96" s="24">
        <v>4.2946824044977329E-2</v>
      </c>
      <c r="E96" s="128">
        <f>MATCH(F96,FTRA!$D$137:$D$149,0)</f>
        <v>10</v>
      </c>
      <c r="F96" s="4" t="str">
        <f t="shared" si="3"/>
        <v>TFHCV9</v>
      </c>
      <c r="G96" s="24">
        <f ca="1">OFFSET(FTRA!J$136,$E96,0)</f>
        <v>3.9969372950314989E-2</v>
      </c>
      <c r="H96" s="24">
        <f ca="1">OFFSET(FTRA!K$136,$E96,0)</f>
        <v>3.4102559292729893E-2</v>
      </c>
      <c r="I96" s="24">
        <f ca="1">OFFSET(FTRA!L$136,$E96,0)</f>
        <v>2.8235745635144794E-2</v>
      </c>
      <c r="J96" s="24">
        <f ca="1">OFFSET(FTRA!M$136,$E96,0)</f>
        <v>2.2368931977559604E-2</v>
      </c>
      <c r="K96" s="24">
        <f ca="1">OFFSET(FTRA!N$136,$E96,0)</f>
        <v>2.2519965988779801E-2</v>
      </c>
      <c r="L96" s="24">
        <f ca="1">OFFSET(FTRA!O$136,$E96,0)</f>
        <v>2.2670999999999997E-2</v>
      </c>
      <c r="M96" s="24">
        <f ca="1">OFFSET(FTRA!P$136,$E96,0)</f>
        <v>3.2861518920469207E-2</v>
      </c>
      <c r="N96" s="24">
        <f ca="1">OFFSET(FTRA!Q$136,$E96,0)</f>
        <v>4.3052037840938417E-2</v>
      </c>
      <c r="O96" s="24">
        <f ca="1">OFFSET(FTRA!R$136,$E96,0)</f>
        <v>4.0504848180205263E-2</v>
      </c>
      <c r="P96" s="24">
        <f ca="1">OFFSET(FTRA!S$136,$E96,0)</f>
        <v>4.1181949549436034E-2</v>
      </c>
      <c r="Q96" s="24">
        <f ca="1">OFFSET(FTRA!T$136,$E96,0)</f>
        <v>4.1909584995884062E-2</v>
      </c>
      <c r="R96" s="24">
        <f ca="1">OFFSET(FTRA!U$136,$E96,0)</f>
        <v>4.2637220442332091E-2</v>
      </c>
      <c r="S96" s="24">
        <f ca="1">OFFSET(FTRA!V$136,$E96,0)</f>
        <v>4.336485588878012E-2</v>
      </c>
      <c r="T96" s="24">
        <f ca="1">OFFSET(FTRA!W$136,$E96,0)</f>
        <v>4.4092491335228148E-2</v>
      </c>
      <c r="U96" s="24">
        <f ca="1">OFFSET(FTRA!X$136,$E96,0)</f>
        <v>4.4820126781676177E-2</v>
      </c>
      <c r="V96" s="24">
        <f ca="1">OFFSET(FTRA!Y$136,$E96,0)</f>
        <v>4.5547762228124206E-2</v>
      </c>
      <c r="W96" s="24">
        <f ca="1">OFFSET(FTRA!Z$136,$E96,0)</f>
        <v>4.6275397674572234E-2</v>
      </c>
      <c r="X96" s="24">
        <f ca="1">OFFSET(FTRA!AA$136,$E96,0)</f>
        <v>4.7003033121020263E-2</v>
      </c>
      <c r="Y96" s="24">
        <f ca="1">OFFSET(FTRA!AB$136,$E96,0)</f>
        <v>4.7730668567468298E-2</v>
      </c>
      <c r="Z96" s="24">
        <f ca="1">OFFSET(FTRA!AC$136,$E96,0)</f>
        <v>4.8931005718074447E-2</v>
      </c>
      <c r="AA96" s="24">
        <f ca="1">OFFSET(FTRA!AD$136,$E96,0)</f>
        <v>5.0131342868680595E-2</v>
      </c>
      <c r="AB96" s="24">
        <f ca="1">OFFSET(FTRA!AE$136,$E96,0)</f>
        <v>5.1331680019286743E-2</v>
      </c>
      <c r="AC96" s="24">
        <f ca="1">OFFSET(FTRA!AF$136,$E96,0)</f>
        <v>5.2532017169892892E-2</v>
      </c>
      <c r="AD96" s="24">
        <f ca="1">OFFSET(FTRA!AG$136,$E96,0)</f>
        <v>5.373235432049904E-2</v>
      </c>
      <c r="AE96" s="24">
        <f ca="1">OFFSET(FTRA!AH$136,$E96,0)</f>
        <v>5.4932691471105188E-2</v>
      </c>
      <c r="AF96" s="24">
        <f ca="1">OFFSET(FTRA!AI$136,$E96,0)</f>
        <v>5.6133028621711337E-2</v>
      </c>
      <c r="AG96" s="24">
        <f ca="1">OFFSET(FTRA!AJ$136,$E96,0)</f>
        <v>5.7333365772317485E-2</v>
      </c>
      <c r="AH96" s="24">
        <f ca="1">OFFSET(FTRA!AK$136,$E96,0)</f>
        <v>5.8533702922923633E-2</v>
      </c>
      <c r="AI96" s="24">
        <f ca="1">OFFSET(FTRA!AL$136,$E96,0)</f>
        <v>5.9734040073529761E-2</v>
      </c>
      <c r="AJ96" s="24">
        <f ca="1">OFFSET(FTRA!AM$136,$E96,0)</f>
        <v>6.8488055332898104E-2</v>
      </c>
      <c r="AK96" s="24">
        <f ca="1">OFFSET(FTRA!AN$136,$E96,0)</f>
        <v>7.7242070592266454E-2</v>
      </c>
      <c r="AL96" s="24">
        <f ca="1">OFFSET(FTRA!AO$136,$E96,0)</f>
        <v>7.7242070592266454E-2</v>
      </c>
      <c r="AM96" s="24">
        <f ca="1">OFFSET(FTRA!AP$136,$E96,0)</f>
        <v>7.7242070592266454E-2</v>
      </c>
    </row>
    <row r="97" spans="1:39">
      <c r="A97" s="35" t="s">
        <v>382</v>
      </c>
      <c r="B97">
        <v>28</v>
      </c>
      <c r="E97" s="128">
        <f>MATCH(F97,FTRA!$D$137:$D$149,0)</f>
        <v>11</v>
      </c>
      <c r="F97" s="4" t="str">
        <f t="shared" si="1"/>
        <v>TFRCO</v>
      </c>
      <c r="G97" s="24">
        <f ca="1">OFFSET(FTRA!J$136,$E97,0)</f>
        <v>22</v>
      </c>
      <c r="H97" s="24">
        <f ca="1">OFFSET(FTRA!K$136,$E97,0)</f>
        <v>22.352445526032646</v>
      </c>
      <c r="I97" s="24">
        <f ca="1">OFFSET(FTRA!L$136,$E97,0)</f>
        <v>22.704891052065292</v>
      </c>
      <c r="J97" s="24">
        <f ca="1">OFFSET(FTRA!M$136,$E97,0)</f>
        <v>23.057336578097942</v>
      </c>
      <c r="K97" s="24">
        <f ca="1">OFFSET(FTRA!N$136,$E97,0)</f>
        <v>23.249070137552067</v>
      </c>
      <c r="L97" s="24">
        <f ca="1">OFFSET(FTRA!O$136,$E97,0)</f>
        <v>23.440803697006192</v>
      </c>
      <c r="M97" s="24">
        <f ca="1">OFFSET(FTRA!P$136,$E97,0)</f>
        <v>23.568784279696359</v>
      </c>
      <c r="N97" s="24">
        <f ca="1">OFFSET(FTRA!Q$136,$E97,0)</f>
        <v>23.696764862386523</v>
      </c>
      <c r="O97" s="24">
        <f ca="1">OFFSET(FTRA!R$136,$E97,0)</f>
        <v>22.294737049596232</v>
      </c>
      <c r="P97" s="24">
        <f ca="1">OFFSET(FTRA!S$136,$E97,0)</f>
        <v>22.667428163404651</v>
      </c>
      <c r="Q97" s="24">
        <f ca="1">OFFSET(FTRA!T$136,$E97,0)</f>
        <v>23.0679343169977</v>
      </c>
      <c r="R97" s="24">
        <f ca="1">OFFSET(FTRA!U$136,$E97,0)</f>
        <v>23.46844047059075</v>
      </c>
      <c r="S97" s="24">
        <f ca="1">OFFSET(FTRA!V$136,$E97,0)</f>
        <v>23.868946624183799</v>
      </c>
      <c r="T97" s="24">
        <f ca="1">OFFSET(FTRA!W$136,$E97,0)</f>
        <v>24.269452777776849</v>
      </c>
      <c r="U97" s="24">
        <f ca="1">OFFSET(FTRA!X$136,$E97,0)</f>
        <v>24.669958931369898</v>
      </c>
      <c r="V97" s="24">
        <f ca="1">OFFSET(FTRA!Y$136,$E97,0)</f>
        <v>25.070465084962947</v>
      </c>
      <c r="W97" s="24">
        <f ca="1">OFFSET(FTRA!Z$136,$E97,0)</f>
        <v>25.470971238555997</v>
      </c>
      <c r="X97" s="24">
        <f ca="1">OFFSET(FTRA!AA$136,$E97,0)</f>
        <v>25.871477392149046</v>
      </c>
      <c r="Y97" s="24">
        <f ca="1">OFFSET(FTRA!AB$136,$E97,0)</f>
        <v>26.271983545742081</v>
      </c>
      <c r="Z97" s="24">
        <f ca="1">OFFSET(FTRA!AC$136,$E97,0)</f>
        <v>26.932674854213737</v>
      </c>
      <c r="AA97" s="24">
        <f ca="1">OFFSET(FTRA!AD$136,$E97,0)</f>
        <v>27.593366162685392</v>
      </c>
      <c r="AB97" s="24">
        <f ca="1">OFFSET(FTRA!AE$136,$E97,0)</f>
        <v>28.254057471157047</v>
      </c>
      <c r="AC97" s="24">
        <f ca="1">OFFSET(FTRA!AF$136,$E97,0)</f>
        <v>28.914748779628702</v>
      </c>
      <c r="AD97" s="24">
        <f ca="1">OFFSET(FTRA!AG$136,$E97,0)</f>
        <v>29.575440088100358</v>
      </c>
      <c r="AE97" s="24">
        <f ca="1">OFFSET(FTRA!AH$136,$E97,0)</f>
        <v>30.236131396572013</v>
      </c>
      <c r="AF97" s="24">
        <f ca="1">OFFSET(FTRA!AI$136,$E97,0)</f>
        <v>30.896822705043668</v>
      </c>
      <c r="AG97" s="24">
        <f ca="1">OFFSET(FTRA!AJ$136,$E97,0)</f>
        <v>31.557514013515323</v>
      </c>
      <c r="AH97" s="24">
        <f ca="1">OFFSET(FTRA!AK$136,$E97,0)</f>
        <v>32.218205321986979</v>
      </c>
      <c r="AI97" s="24">
        <f ca="1">OFFSET(FTRA!AL$136,$E97,0)</f>
        <v>32.878896630458648</v>
      </c>
      <c r="AJ97" s="24">
        <f ca="1">OFFSET(FTRA!AM$136,$E97,0)</f>
        <v>37.697294355774616</v>
      </c>
      <c r="AK97" s="24">
        <f ca="1">OFFSET(FTRA!AN$136,$E97,0)</f>
        <v>42.515692081090613</v>
      </c>
      <c r="AL97" s="24">
        <f ca="1">OFFSET(FTRA!AO$136,$E97,0)</f>
        <v>42.515692081090613</v>
      </c>
      <c r="AM97" s="24">
        <f ca="1">OFFSET(FTRA!AP$136,$E97,0)</f>
        <v>42.515692081090613</v>
      </c>
    </row>
    <row r="98" spans="1:39">
      <c r="A98" s="35" t="s">
        <v>384</v>
      </c>
      <c r="B98">
        <v>26</v>
      </c>
      <c r="E98" s="130">
        <f>MATCH(F98,FTRA!$D$137:$D$149,0)</f>
        <v>12</v>
      </c>
      <c r="F98" s="4" t="str">
        <f>A98</f>
        <v>TFROT</v>
      </c>
      <c r="G98" s="24">
        <f ca="1">OFFSET(FTRA!J$136,$E98,0)</f>
        <v>25.1</v>
      </c>
      <c r="H98" s="24">
        <f ca="1">OFFSET(FTRA!K$136,$E98,0)</f>
        <v>25.502108304700894</v>
      </c>
      <c r="I98" s="24">
        <f ca="1">OFFSET(FTRA!L$136,$E98,0)</f>
        <v>25.904216609401786</v>
      </c>
      <c r="J98" s="24">
        <f ca="1">OFFSET(FTRA!M$136,$E98,0)</f>
        <v>26.306324914102674</v>
      </c>
      <c r="K98" s="24">
        <f ca="1">OFFSET(FTRA!N$136,$E98,0)</f>
        <v>26.525075475116246</v>
      </c>
      <c r="L98" s="24">
        <f ca="1">OFFSET(FTRA!O$136,$E98,0)</f>
        <v>26.743826036129814</v>
      </c>
      <c r="M98" s="24">
        <f ca="1">OFFSET(FTRA!P$136,$E98,0)</f>
        <v>26.889840246380864</v>
      </c>
      <c r="N98" s="24">
        <f ca="1">OFFSET(FTRA!Q$136,$E98,0)</f>
        <v>27.035854456631917</v>
      </c>
      <c r="O98" s="24">
        <f ca="1">OFFSET(FTRA!R$136,$E98,0)</f>
        <v>25.436268179312091</v>
      </c>
      <c r="P98" s="24">
        <f ca="1">OFFSET(FTRA!S$136,$E98,0)</f>
        <v>25.861474859157145</v>
      </c>
      <c r="Q98" s="24">
        <f ca="1">OFFSET(FTRA!T$136,$E98,0)</f>
        <v>26.318415970756487</v>
      </c>
      <c r="R98" s="24">
        <f ca="1">OFFSET(FTRA!U$136,$E98,0)</f>
        <v>26.775357082355828</v>
      </c>
      <c r="S98" s="24">
        <f ca="1">OFFSET(FTRA!V$136,$E98,0)</f>
        <v>27.23229819395517</v>
      </c>
      <c r="T98" s="24">
        <f ca="1">OFFSET(FTRA!W$136,$E98,0)</f>
        <v>27.689239305554512</v>
      </c>
      <c r="U98" s="24">
        <f ca="1">OFFSET(FTRA!X$136,$E98,0)</f>
        <v>28.146180417153854</v>
      </c>
      <c r="V98" s="24">
        <f ca="1">OFFSET(FTRA!Y$136,$E98,0)</f>
        <v>28.603121528753196</v>
      </c>
      <c r="W98" s="24">
        <f ca="1">OFFSET(FTRA!Z$136,$E98,0)</f>
        <v>29.060062640352537</v>
      </c>
      <c r="X98" s="24">
        <f ca="1">OFFSET(FTRA!AA$136,$E98,0)</f>
        <v>29.517003751951879</v>
      </c>
      <c r="Y98" s="24">
        <f ca="1">OFFSET(FTRA!AB$136,$E98,0)</f>
        <v>29.973944863551218</v>
      </c>
      <c r="Z98" s="24">
        <f ca="1">OFFSET(FTRA!AC$136,$E98,0)</f>
        <v>30.727733583671153</v>
      </c>
      <c r="AA98" s="24">
        <f ca="1">OFFSET(FTRA!AD$136,$E98,0)</f>
        <v>31.481522303791088</v>
      </c>
      <c r="AB98" s="24">
        <f ca="1">OFFSET(FTRA!AE$136,$E98,0)</f>
        <v>32.235311023911024</v>
      </c>
      <c r="AC98" s="24">
        <f ca="1">OFFSET(FTRA!AF$136,$E98,0)</f>
        <v>32.989099744030959</v>
      </c>
      <c r="AD98" s="24">
        <f ca="1">OFFSET(FTRA!AG$136,$E98,0)</f>
        <v>33.742888464150894</v>
      </c>
      <c r="AE98" s="24">
        <f ca="1">OFFSET(FTRA!AH$136,$E98,0)</f>
        <v>34.49667718427083</v>
      </c>
      <c r="AF98" s="24">
        <f ca="1">OFFSET(FTRA!AI$136,$E98,0)</f>
        <v>35.250465904390765</v>
      </c>
      <c r="AG98" s="24">
        <f ca="1">OFFSET(FTRA!AJ$136,$E98,0)</f>
        <v>36.0042546245107</v>
      </c>
      <c r="AH98" s="24">
        <f ca="1">OFFSET(FTRA!AK$136,$E98,0)</f>
        <v>36.758043344630636</v>
      </c>
      <c r="AI98" s="24">
        <f ca="1">OFFSET(FTRA!AL$136,$E98,0)</f>
        <v>37.511832064750571</v>
      </c>
      <c r="AJ98" s="24">
        <f ca="1">OFFSET(FTRA!AM$136,$E98,0)</f>
        <v>43.009185833179252</v>
      </c>
      <c r="AK98" s="24">
        <f ca="1">OFFSET(FTRA!AN$136,$E98,0)</f>
        <v>48.506539601607955</v>
      </c>
      <c r="AL98" s="24">
        <f ca="1">OFFSET(FTRA!AO$136,$E98,0)</f>
        <v>48.506539601607955</v>
      </c>
      <c r="AM98" s="24">
        <f ca="1">OFFSET(FTRA!AP$136,$E98,0)</f>
        <v>48.506539601607955</v>
      </c>
    </row>
    <row r="99" spans="1:39">
      <c r="A99" s="35" t="s">
        <v>383</v>
      </c>
      <c r="B99">
        <v>67</v>
      </c>
      <c r="E99" s="129">
        <f>MATCH(F99,FTRA!$D$137:$D$149,0)</f>
        <v>13</v>
      </c>
      <c r="F99" s="4" t="str">
        <f t="shared" si="1"/>
        <v>TFREX</v>
      </c>
      <c r="G99" s="24">
        <f ca="1">OFFSET(FTRA!J$136,$E99,0)</f>
        <v>82</v>
      </c>
      <c r="H99" s="24">
        <f ca="1">OFFSET(FTRA!K$136,$E99,0)</f>
        <v>82</v>
      </c>
      <c r="I99" s="24">
        <f ca="1">OFFSET(FTRA!L$136,$E99,0)</f>
        <v>82</v>
      </c>
      <c r="J99" s="24">
        <f ca="1">OFFSET(FTRA!M$136,$E99,0)</f>
        <v>82</v>
      </c>
      <c r="K99" s="24">
        <f ca="1">OFFSET(FTRA!N$136,$E99,0)</f>
        <v>82</v>
      </c>
      <c r="L99" s="24">
        <f ca="1">OFFSET(FTRA!O$136,$E99,0)</f>
        <v>82</v>
      </c>
      <c r="M99" s="24">
        <f ca="1">OFFSET(FTRA!P$136,$E99,0)</f>
        <v>82.736172776937963</v>
      </c>
      <c r="N99" s="24">
        <f ca="1">OFFSET(FTRA!Q$136,$E99,0)</f>
        <v>83.472345553875911</v>
      </c>
      <c r="O99" s="24">
        <f ca="1">OFFSET(FTRA!R$136,$E99,0)</f>
        <v>75.296230147600639</v>
      </c>
      <c r="P99" s="24">
        <f ca="1">OFFSET(FTRA!S$136,$E99,0)</f>
        <v>79.105852655656577</v>
      </c>
      <c r="Q99" s="24">
        <f ca="1">OFFSET(FTRA!T$136,$E99,0)</f>
        <v>80.098633146166861</v>
      </c>
      <c r="R99" s="24">
        <f ca="1">OFFSET(FTRA!U$136,$E99,0)</f>
        <v>81.091413636677146</v>
      </c>
      <c r="S99" s="24">
        <f ca="1">OFFSET(FTRA!V$136,$E99,0)</f>
        <v>82.08419412718743</v>
      </c>
      <c r="T99" s="24">
        <f ca="1">OFFSET(FTRA!W$136,$E99,0)</f>
        <v>83.076974617697715</v>
      </c>
      <c r="U99" s="24">
        <f ca="1">OFFSET(FTRA!X$136,$E99,0)</f>
        <v>84.069755108208</v>
      </c>
      <c r="V99" s="24">
        <f ca="1">OFFSET(FTRA!Y$136,$E99,0)</f>
        <v>85.062535598718284</v>
      </c>
      <c r="W99" s="24">
        <f ca="1">OFFSET(FTRA!Z$136,$E99,0)</f>
        <v>86.055316089228569</v>
      </c>
      <c r="X99" s="24">
        <f ca="1">OFFSET(FTRA!AA$136,$E99,0)</f>
        <v>87.048096579738854</v>
      </c>
      <c r="Y99" s="24">
        <f ca="1">OFFSET(FTRA!AB$136,$E99,0)</f>
        <v>88.040877070249081</v>
      </c>
      <c r="Z99" s="24">
        <f ca="1">OFFSET(FTRA!AC$136,$E99,0)</f>
        <v>89.889451104345511</v>
      </c>
      <c r="AA99" s="24">
        <f ca="1">OFFSET(FTRA!AD$136,$E99,0)</f>
        <v>91.738025138441941</v>
      </c>
      <c r="AB99" s="24">
        <f ca="1">OFFSET(FTRA!AE$136,$E99,0)</f>
        <v>93.586599172538371</v>
      </c>
      <c r="AC99" s="24">
        <f ca="1">OFFSET(FTRA!AF$136,$E99,0)</f>
        <v>95.435173206634801</v>
      </c>
      <c r="AD99" s="24">
        <f ca="1">OFFSET(FTRA!AG$136,$E99,0)</f>
        <v>97.28374724073123</v>
      </c>
      <c r="AE99" s="24">
        <f ca="1">OFFSET(FTRA!AH$136,$E99,0)</f>
        <v>99.13232127482766</v>
      </c>
      <c r="AF99" s="24">
        <f ca="1">OFFSET(FTRA!AI$136,$E99,0)</f>
        <v>100.98089530892409</v>
      </c>
      <c r="AG99" s="24">
        <f ca="1">OFFSET(FTRA!AJ$136,$E99,0)</f>
        <v>102.82946934302052</v>
      </c>
      <c r="AH99" s="24">
        <f ca="1">OFFSET(FTRA!AK$136,$E99,0)</f>
        <v>104.67804337711695</v>
      </c>
      <c r="AI99" s="24">
        <f ca="1">OFFSET(FTRA!AL$136,$E99,0)</f>
        <v>106.52661741121335</v>
      </c>
      <c r="AJ99" s="24">
        <f ca="1">OFFSET(FTRA!AM$136,$E99,0)</f>
        <v>118.056857121503</v>
      </c>
      <c r="AK99" s="24">
        <f ca="1">OFFSET(FTRA!AN$136,$E99,0)</f>
        <v>129.58709683179265</v>
      </c>
      <c r="AL99" s="24">
        <f ca="1">OFFSET(FTRA!AO$136,$E99,0)</f>
        <v>129.58709683179265</v>
      </c>
      <c r="AM99" s="24">
        <f ca="1">OFFSET(FTRA!AP$136,$E99,0)</f>
        <v>129.58709683179265</v>
      </c>
    </row>
    <row r="100" spans="1:39">
      <c r="A100" s="35" t="s">
        <v>128</v>
      </c>
      <c r="B100">
        <v>73.203613436309993</v>
      </c>
      <c r="E100" s="128">
        <f>MATCH(F100,PTRA!$D$219:$D$226,0)</f>
        <v>1</v>
      </c>
      <c r="F100" s="4" t="str">
        <f t="shared" si="1"/>
        <v>TPPRCAR</v>
      </c>
      <c r="G100" s="24">
        <f ca="1">OFFSET(PTRA!J$218,$E100,0)</f>
        <v>81.484814157071753</v>
      </c>
      <c r="H100" s="24">
        <f ca="1">OFFSET(PTRA!K$218,$E100,0)</f>
        <v>84.02361101254985</v>
      </c>
      <c r="I100" s="24">
        <f ca="1">OFFSET(PTRA!L$218,$E100,0)</f>
        <v>86.562407868027947</v>
      </c>
      <c r="J100" s="24">
        <f ca="1">OFFSET(PTRA!M$218,$E100,0)</f>
        <v>89.101204723506044</v>
      </c>
      <c r="K100" s="24">
        <f ca="1">OFFSET(PTRA!N$218,$E100,0)</f>
        <v>91.313591691856431</v>
      </c>
      <c r="L100" s="24">
        <f ca="1">OFFSET(PTRA!O$218,$E100,0)</f>
        <v>93.525978660206817</v>
      </c>
      <c r="M100" s="24">
        <f ca="1">OFFSET(PTRA!P$218,$E100,0)</f>
        <v>95.68422553760422</v>
      </c>
      <c r="N100" s="24">
        <f ca="1">OFFSET(PTRA!Q$218,$E100,0)</f>
        <v>97.842472415001637</v>
      </c>
      <c r="O100" s="24">
        <f ca="1">OFFSET(PTRA!R$218,$E100,0)</f>
        <v>93.746622585597407</v>
      </c>
      <c r="P100" s="24">
        <f ca="1">OFFSET(PTRA!S$218,$E100,0)</f>
        <v>94.284516099271045</v>
      </c>
      <c r="Q100" s="24">
        <f ca="1">OFFSET(PTRA!T$218,$E100,0)</f>
        <v>97.198802179917436</v>
      </c>
      <c r="R100" s="24">
        <f ca="1">OFFSET(PTRA!U$218,$E100,0)</f>
        <v>100.11308826056383</v>
      </c>
      <c r="S100" s="24">
        <f ca="1">OFFSET(PTRA!V$218,$E100,0)</f>
        <v>103.02737434121022</v>
      </c>
      <c r="T100" s="24">
        <f ca="1">OFFSET(PTRA!W$218,$E100,0)</f>
        <v>105.94166042185661</v>
      </c>
      <c r="U100" s="24">
        <f ca="1">OFFSET(PTRA!X$218,$E100,0)</f>
        <v>108.855946502503</v>
      </c>
      <c r="V100" s="24">
        <f ca="1">OFFSET(PTRA!Y$218,$E100,0)</f>
        <v>111.77023258314939</v>
      </c>
      <c r="W100" s="24">
        <f ca="1">OFFSET(PTRA!Z$218,$E100,0)</f>
        <v>114.68451866379579</v>
      </c>
      <c r="X100" s="24">
        <f ca="1">OFFSET(PTRA!AA$218,$E100,0)</f>
        <v>117.59880474444218</v>
      </c>
      <c r="Y100" s="24">
        <f ca="1">OFFSET(PTRA!AB$218,$E100,0)</f>
        <v>120.51309082508857</v>
      </c>
      <c r="Z100" s="24">
        <f ca="1">OFFSET(PTRA!AC$218,$E100,0)</f>
        <v>124.40451694203242</v>
      </c>
      <c r="AA100" s="24">
        <f ca="1">OFFSET(PTRA!AD$218,$E100,0)</f>
        <v>128.29594305897626</v>
      </c>
      <c r="AB100" s="24">
        <f ca="1">OFFSET(PTRA!AE$218,$E100,0)</f>
        <v>132.18736917592011</v>
      </c>
      <c r="AC100" s="24">
        <f ca="1">OFFSET(PTRA!AF$218,$E100,0)</f>
        <v>136.07879529286396</v>
      </c>
      <c r="AD100" s="24">
        <f ca="1">OFFSET(PTRA!AG$218,$E100,0)</f>
        <v>139.97022140980781</v>
      </c>
      <c r="AE100" s="24">
        <f ca="1">OFFSET(PTRA!AH$218,$E100,0)</f>
        <v>143.86164752675165</v>
      </c>
      <c r="AF100" s="24">
        <f ca="1">OFFSET(PTRA!AI$218,$E100,0)</f>
        <v>147.7530736436955</v>
      </c>
      <c r="AG100" s="24">
        <f ca="1">OFFSET(PTRA!AJ$218,$E100,0)</f>
        <v>151.64449976063935</v>
      </c>
      <c r="AH100" s="24">
        <f ca="1">OFFSET(PTRA!AK$218,$E100,0)</f>
        <v>155.5359258775832</v>
      </c>
      <c r="AI100" s="24">
        <f ca="1">OFFSET(PTRA!AL$218,$E100,0)</f>
        <v>159.42735199452704</v>
      </c>
      <c r="AJ100" s="24">
        <f ca="1">OFFSET(PTRA!AM$218,$E100,0)</f>
        <v>180.45193661229189</v>
      </c>
      <c r="AK100" s="24">
        <f ca="1">OFFSET(PTRA!AN$218,$E100,0)</f>
        <v>201.47652123005676</v>
      </c>
      <c r="AL100" s="24">
        <f ca="1">OFFSET(PTRA!AO$218,$E100,0)</f>
        <v>201.47652123005676</v>
      </c>
      <c r="AM100" s="24">
        <f ca="1">OFFSET(PTRA!AP$218,$E100,0)</f>
        <v>201.47652123005676</v>
      </c>
    </row>
    <row r="101" spans="1:39">
      <c r="A101" s="35" t="s">
        <v>183</v>
      </c>
      <c r="B101">
        <v>2.2210937076119999</v>
      </c>
      <c r="E101" s="129">
        <f>MATCH(F101,PTRA!$D$219:$D$226,0)</f>
        <v>3</v>
      </c>
      <c r="F101" s="4" t="str">
        <f t="shared" si="1"/>
        <v>TPPRMOT</v>
      </c>
      <c r="G101" s="24">
        <f ca="1">OFFSET(PTRA!J$218,$E101,0)</f>
        <v>3.1893877916903843</v>
      </c>
      <c r="H101" s="24">
        <f ca="1">OFFSET(PTRA!K$218,$E101,0)</f>
        <v>3.1544528903256581</v>
      </c>
      <c r="I101" s="24">
        <f ca="1">OFFSET(PTRA!L$218,$E101,0)</f>
        <v>3.1195179889609319</v>
      </c>
      <c r="J101" s="24">
        <f ca="1">OFFSET(PTRA!M$218,$E101,0)</f>
        <v>3.0845830875962057</v>
      </c>
      <c r="K101" s="24">
        <f ca="1">OFFSET(PTRA!N$218,$E101,0)</f>
        <v>3.1538857729114129</v>
      </c>
      <c r="L101" s="24">
        <f ca="1">OFFSET(PTRA!O$218,$E101,0)</f>
        <v>3.2231884582266197</v>
      </c>
      <c r="M101" s="24">
        <f ca="1">OFFSET(PTRA!P$218,$E101,0)</f>
        <v>3.2975681816455502</v>
      </c>
      <c r="N101" s="24">
        <f ca="1">OFFSET(PTRA!Q$218,$E101,0)</f>
        <v>3.3719479050644807</v>
      </c>
      <c r="O101" s="24">
        <f ca="1">OFFSET(PTRA!R$218,$E101,0)</f>
        <v>3.2307925160925155</v>
      </c>
      <c r="P101" s="24">
        <f ca="1">OFFSET(PTRA!S$218,$E101,0)</f>
        <v>3.2493299555276773</v>
      </c>
      <c r="Q101" s="24">
        <f ca="1">OFFSET(PTRA!T$218,$E101,0)</f>
        <v>3.3497650794758278</v>
      </c>
      <c r="R101" s="24">
        <f ca="1">OFFSET(PTRA!U$218,$E101,0)</f>
        <v>3.4502002034239783</v>
      </c>
      <c r="S101" s="24">
        <f ca="1">OFFSET(PTRA!V$218,$E101,0)</f>
        <v>3.5506353273721287</v>
      </c>
      <c r="T101" s="24">
        <f ca="1">OFFSET(PTRA!W$218,$E101,0)</f>
        <v>3.6510704513202792</v>
      </c>
      <c r="U101" s="24">
        <f ca="1">OFFSET(PTRA!X$218,$E101,0)</f>
        <v>3.7515055752684296</v>
      </c>
      <c r="V101" s="24">
        <f ca="1">OFFSET(PTRA!Y$218,$E101,0)</f>
        <v>3.8519406992165801</v>
      </c>
      <c r="W101" s="24">
        <f ca="1">OFFSET(PTRA!Z$218,$E101,0)</f>
        <v>3.9523758231647306</v>
      </c>
      <c r="X101" s="24">
        <f ca="1">OFFSET(PTRA!AA$218,$E101,0)</f>
        <v>4.0528109471128806</v>
      </c>
      <c r="Y101" s="24">
        <f ca="1">OFFSET(PTRA!AB$218,$E101,0)</f>
        <v>4.1532460710610311</v>
      </c>
      <c r="Z101" s="24">
        <f ca="1">OFFSET(PTRA!AC$218,$E101,0)</f>
        <v>4.2873563998258852</v>
      </c>
      <c r="AA101" s="24">
        <f ca="1">OFFSET(PTRA!AD$218,$E101,0)</f>
        <v>4.4214667285907394</v>
      </c>
      <c r="AB101" s="24">
        <f ca="1">OFFSET(PTRA!AE$218,$E101,0)</f>
        <v>4.5555770573555936</v>
      </c>
      <c r="AC101" s="24">
        <f ca="1">OFFSET(PTRA!AF$218,$E101,0)</f>
        <v>4.6896873861204478</v>
      </c>
      <c r="AD101" s="24">
        <f ca="1">OFFSET(PTRA!AG$218,$E101,0)</f>
        <v>4.823797714885302</v>
      </c>
      <c r="AE101" s="24">
        <f ca="1">OFFSET(PTRA!AH$218,$E101,0)</f>
        <v>4.9579080436501561</v>
      </c>
      <c r="AF101" s="24">
        <f ca="1">OFFSET(PTRA!AI$218,$E101,0)</f>
        <v>5.0920183724150103</v>
      </c>
      <c r="AG101" s="24">
        <f ca="1">OFFSET(PTRA!AJ$218,$E101,0)</f>
        <v>5.2261287011798645</v>
      </c>
      <c r="AH101" s="24">
        <f ca="1">OFFSET(PTRA!AK$218,$E101,0)</f>
        <v>5.3602390299447187</v>
      </c>
      <c r="AI101" s="24">
        <f ca="1">OFFSET(PTRA!AL$218,$E101,0)</f>
        <v>5.4943493587095693</v>
      </c>
      <c r="AJ101" s="24">
        <f ca="1">OFFSET(PTRA!AM$218,$E101,0)</f>
        <v>6.2189202153823757</v>
      </c>
      <c r="AK101" s="24">
        <f ca="1">OFFSET(PTRA!AN$218,$E101,0)</f>
        <v>6.9434910720551821</v>
      </c>
      <c r="AL101" s="24">
        <f ca="1">OFFSET(PTRA!AO$218,$E101,0)</f>
        <v>6.9434910720551821</v>
      </c>
      <c r="AM101" s="24">
        <f ca="1">OFFSET(PTRA!AP$218,$E101,0)</f>
        <v>6.9434910720551821</v>
      </c>
    </row>
    <row r="102" spans="1:39">
      <c r="A102" s="35" t="s">
        <v>127</v>
      </c>
      <c r="B102">
        <v>9.7306216335790001</v>
      </c>
      <c r="E102" s="129">
        <f>MATCH(F102,PTRA!$D$219:$D$226,0)</f>
        <v>2</v>
      </c>
      <c r="F102" s="4" t="str">
        <f t="shared" si="1"/>
        <v>TPPRSUV</v>
      </c>
      <c r="G102" s="24">
        <f ca="1">OFFSET(PTRA!J$218,$E102,0)</f>
        <v>9.3562062912418789</v>
      </c>
      <c r="H102" s="24">
        <f ca="1">OFFSET(PTRA!K$218,$E102,0)</f>
        <v>9.6477146828008458</v>
      </c>
      <c r="I102" s="24">
        <f ca="1">OFFSET(PTRA!L$218,$E102,0)</f>
        <v>9.9392230743598127</v>
      </c>
      <c r="J102" s="24">
        <f ca="1">OFFSET(PTRA!M$218,$E102,0)</f>
        <v>10.230731465918778</v>
      </c>
      <c r="K102" s="24">
        <f ca="1">OFFSET(PTRA!N$218,$E102,0)</f>
        <v>10.460589810852998</v>
      </c>
      <c r="L102" s="24">
        <f ca="1">OFFSET(PTRA!O$218,$E102,0)</f>
        <v>10.69044815578722</v>
      </c>
      <c r="M102" s="24">
        <f ca="1">OFFSET(PTRA!P$218,$E102,0)</f>
        <v>10.937145668935228</v>
      </c>
      <c r="N102" s="24">
        <f ca="1">OFFSET(PTRA!Q$218,$E102,0)</f>
        <v>11.183843182083237</v>
      </c>
      <c r="O102" s="24">
        <f ca="1">OFFSET(PTRA!R$218,$E102,0)</f>
        <v>10.715668768060601</v>
      </c>
      <c r="P102" s="24">
        <f ca="1">OFFSET(PTRA!S$218,$E102,0)</f>
        <v>10.777152462790532</v>
      </c>
      <c r="Q102" s="24">
        <f ca="1">OFFSET(PTRA!T$218,$E102,0)</f>
        <v>11.110268723134338</v>
      </c>
      <c r="R102" s="24">
        <f ca="1">OFFSET(PTRA!U$218,$E102,0)</f>
        <v>11.443384983478143</v>
      </c>
      <c r="S102" s="24">
        <f ca="1">OFFSET(PTRA!V$218,$E102,0)</f>
        <v>11.776501243821949</v>
      </c>
      <c r="T102" s="24">
        <f ca="1">OFFSET(PTRA!W$218,$E102,0)</f>
        <v>12.109617504165755</v>
      </c>
      <c r="U102" s="24">
        <f ca="1">OFFSET(PTRA!X$218,$E102,0)</f>
        <v>12.44273376450956</v>
      </c>
      <c r="V102" s="24">
        <f ca="1">OFFSET(PTRA!Y$218,$E102,0)</f>
        <v>12.775850024853366</v>
      </c>
      <c r="W102" s="24">
        <f ca="1">OFFSET(PTRA!Z$218,$E102,0)</f>
        <v>13.108966285197171</v>
      </c>
      <c r="X102" s="24">
        <f ca="1">OFFSET(PTRA!AA$218,$E102,0)</f>
        <v>13.442082545540977</v>
      </c>
      <c r="Y102" s="24">
        <f ca="1">OFFSET(PTRA!AB$218,$E102,0)</f>
        <v>13.775198805884775</v>
      </c>
      <c r="Z102" s="24">
        <f ca="1">OFFSET(PTRA!AC$218,$E102,0)</f>
        <v>14.220006652337869</v>
      </c>
      <c r="AA102" s="24">
        <f ca="1">OFFSET(PTRA!AD$218,$E102,0)</f>
        <v>14.664814498790962</v>
      </c>
      <c r="AB102" s="24">
        <f ca="1">OFFSET(PTRA!AE$218,$E102,0)</f>
        <v>15.109622345244055</v>
      </c>
      <c r="AC102" s="24">
        <f ca="1">OFFSET(PTRA!AF$218,$E102,0)</f>
        <v>15.554430191697149</v>
      </c>
      <c r="AD102" s="24">
        <f ca="1">OFFSET(PTRA!AG$218,$E102,0)</f>
        <v>15.999238038150242</v>
      </c>
      <c r="AE102" s="24">
        <f ca="1">OFFSET(PTRA!AH$218,$E102,0)</f>
        <v>16.444045884603337</v>
      </c>
      <c r="AF102" s="24">
        <f ca="1">OFFSET(PTRA!AI$218,$E102,0)</f>
        <v>16.888853731056432</v>
      </c>
      <c r="AG102" s="24">
        <f ca="1">OFFSET(PTRA!AJ$218,$E102,0)</f>
        <v>17.333661577509528</v>
      </c>
      <c r="AH102" s="24">
        <f ca="1">OFFSET(PTRA!AK$218,$E102,0)</f>
        <v>17.778469423962623</v>
      </c>
      <c r="AI102" s="24">
        <f ca="1">OFFSET(PTRA!AL$218,$E102,0)</f>
        <v>18.223277270415711</v>
      </c>
      <c r="AJ102" s="24">
        <f ca="1">OFFSET(PTRA!AM$218,$E102,0)</f>
        <v>20.626483685071577</v>
      </c>
      <c r="AK102" s="24">
        <f ca="1">OFFSET(PTRA!AN$218,$E102,0)</f>
        <v>23.029690099727446</v>
      </c>
      <c r="AL102" s="24">
        <f ca="1">OFFSET(PTRA!AO$218,$E102,0)</f>
        <v>23.029690099727446</v>
      </c>
      <c r="AM102" s="24">
        <f ca="1">OFFSET(PTRA!AP$218,$E102,0)</f>
        <v>23.029690099727446</v>
      </c>
    </row>
    <row r="103" spans="1:39">
      <c r="A103" s="35" t="s">
        <v>131</v>
      </c>
      <c r="B103" t="s">
        <v>386</v>
      </c>
      <c r="E103" s="129">
        <f>MATCH(F103,PTRA!$D$219:$D$226,0)</f>
        <v>6</v>
      </c>
      <c r="F103" s="4" t="str">
        <f t="shared" si="1"/>
        <v>TPPUBRT</v>
      </c>
      <c r="G103" s="24">
        <f ca="1">OFFSET(PTRA!J$218,$E103,0)</f>
        <v>0</v>
      </c>
      <c r="H103" s="24">
        <f ca="1">OFFSET(PTRA!K$218,$E103,0)</f>
        <v>2.4481641737668241E-2</v>
      </c>
      <c r="I103" s="24">
        <f ca="1">OFFSET(PTRA!L$218,$E103,0)</f>
        <v>2.7875678632381207E-2</v>
      </c>
      <c r="J103" s="24">
        <f ca="1">OFFSET(PTRA!M$218,$E103,0)</f>
        <v>3.1269715527094177E-2</v>
      </c>
      <c r="K103" s="24">
        <f ca="1">OFFSET(PTRA!N$218,$E103,0)</f>
        <v>4.7094773068544926E-2</v>
      </c>
      <c r="L103" s="24">
        <f ca="1">OFFSET(PTRA!O$218,$E103,0)</f>
        <v>6.2919830609995675E-2</v>
      </c>
      <c r="M103" s="24">
        <f ca="1">OFFSET(PTRA!P$218,$E103,0)</f>
        <v>8.2239758862255277E-2</v>
      </c>
      <c r="N103" s="24">
        <f ca="1">OFFSET(PTRA!Q$218,$E103,0)</f>
        <v>0.10155968711451488</v>
      </c>
      <c r="O103" s="24">
        <f ca="1">OFFSET(PTRA!R$218,$E103,0)</f>
        <v>0.10425069329756113</v>
      </c>
      <c r="P103" s="24">
        <f ca="1">OFFSET(PTRA!S$218,$E103,0)</f>
        <v>0.29374525410217339</v>
      </c>
      <c r="Q103" s="24">
        <f ca="1">OFFSET(PTRA!T$218,$E103,0)</f>
        <v>0.32419393261645385</v>
      </c>
      <c r="R103" s="24">
        <f ca="1">OFFSET(PTRA!U$218,$E103,0)</f>
        <v>0.35464261113073431</v>
      </c>
      <c r="S103" s="24">
        <f ca="1">OFFSET(PTRA!V$218,$E103,0)</f>
        <v>0.38509128964501477</v>
      </c>
      <c r="T103" s="24">
        <f ca="1">OFFSET(PTRA!W$218,$E103,0)</f>
        <v>0.41553996815929523</v>
      </c>
      <c r="U103" s="24">
        <f ca="1">OFFSET(PTRA!X$218,$E103,0)</f>
        <v>0.44598864667357568</v>
      </c>
      <c r="V103" s="24">
        <f ca="1">OFFSET(PTRA!Y$218,$E103,0)</f>
        <v>0.47643732518785614</v>
      </c>
      <c r="W103" s="24">
        <f ca="1">OFFSET(PTRA!Z$218,$E103,0)</f>
        <v>0.50688600370213666</v>
      </c>
      <c r="X103" s="24">
        <f ca="1">OFFSET(PTRA!AA$218,$E103,0)</f>
        <v>0.53733468221641711</v>
      </c>
      <c r="Y103" s="24">
        <f ca="1">OFFSET(PTRA!AB$218,$E103,0)</f>
        <v>0.56778336073069768</v>
      </c>
      <c r="Z103" s="24">
        <f ca="1">OFFSET(PTRA!AC$218,$E103,0)</f>
        <v>0.61894654287448447</v>
      </c>
      <c r="AA103" s="24">
        <f ca="1">OFFSET(PTRA!AD$218,$E103,0)</f>
        <v>0.67010972501827126</v>
      </c>
      <c r="AB103" s="24">
        <f ca="1">OFFSET(PTRA!AE$218,$E103,0)</f>
        <v>0.72127290716205805</v>
      </c>
      <c r="AC103" s="24">
        <f ca="1">OFFSET(PTRA!AF$218,$E103,0)</f>
        <v>0.77243608930584484</v>
      </c>
      <c r="AD103" s="24">
        <f ca="1">OFFSET(PTRA!AG$218,$E103,0)</f>
        <v>0.82359927144963163</v>
      </c>
      <c r="AE103" s="24">
        <f ca="1">OFFSET(PTRA!AH$218,$E103,0)</f>
        <v>0.87476245359341842</v>
      </c>
      <c r="AF103" s="24">
        <f ca="1">OFFSET(PTRA!AI$218,$E103,0)</f>
        <v>0.92592563573720521</v>
      </c>
      <c r="AG103" s="24">
        <f ca="1">OFFSET(PTRA!AJ$218,$E103,0)</f>
        <v>0.977088817880992</v>
      </c>
      <c r="AH103" s="24">
        <f ca="1">OFFSET(PTRA!AK$218,$E103,0)</f>
        <v>1.0282520000247788</v>
      </c>
      <c r="AI103" s="24">
        <f ca="1">OFFSET(PTRA!AL$218,$E103,0)</f>
        <v>1.0794151821685656</v>
      </c>
      <c r="AJ103" s="24">
        <f ca="1">OFFSET(PTRA!AM$218,$E103,0)</f>
        <v>1.3169948504595808</v>
      </c>
      <c r="AK103" s="24">
        <f ca="1">OFFSET(PTRA!AN$218,$E103,0)</f>
        <v>1.5545745187505957</v>
      </c>
      <c r="AL103" s="24">
        <f ca="1">OFFSET(PTRA!AO$218,$E103,0)</f>
        <v>1.5545745187505957</v>
      </c>
      <c r="AM103" s="24">
        <f ca="1">OFFSET(PTRA!AP$218,$E103,0)</f>
        <v>1.5545745187505957</v>
      </c>
    </row>
    <row r="104" spans="1:39">
      <c r="A104" s="35" t="s">
        <v>129</v>
      </c>
      <c r="B104">
        <v>0.62801975359410001</v>
      </c>
      <c r="E104" s="129">
        <f>MATCH(F104,PTRA!$D$219:$D$226,0)</f>
        <v>4</v>
      </c>
      <c r="F104" s="4" t="str">
        <f t="shared" si="1"/>
        <v>TPPUBUS</v>
      </c>
      <c r="G104" s="24">
        <f ca="1">OFFSET(PTRA!J$218,$E104,0)</f>
        <v>1.4990333520535337</v>
      </c>
      <c r="H104" s="24">
        <f ca="1">OFFSET(PTRA!K$218,$E104,0)</f>
        <v>0.77885260922987343</v>
      </c>
      <c r="I104" s="24">
        <f ca="1">OFFSET(PTRA!L$218,$E104,0)</f>
        <v>0.93971372874215786</v>
      </c>
      <c r="J104" s="24">
        <f ca="1">OFFSET(PTRA!M$218,$E104,0)</f>
        <v>1.1005748482544424</v>
      </c>
      <c r="K104" s="24">
        <f ca="1">OFFSET(PTRA!N$218,$E104,0)</f>
        <v>0.93083933163040378</v>
      </c>
      <c r="L104" s="24">
        <f ca="1">OFFSET(PTRA!O$218,$E104,0)</f>
        <v>0.76110381500636504</v>
      </c>
      <c r="M104" s="24">
        <f ca="1">OFFSET(PTRA!P$218,$E104,0)</f>
        <v>0.76999357397639234</v>
      </c>
      <c r="N104" s="24">
        <f ca="1">OFFSET(PTRA!Q$218,$E104,0)</f>
        <v>0.77888333294641976</v>
      </c>
      <c r="O104" s="24">
        <f ca="1">OFFSET(PTRA!R$218,$E104,0)</f>
        <v>0.80526146705118407</v>
      </c>
      <c r="P104" s="24">
        <f ca="1">OFFSET(PTRA!S$218,$E104,0)</f>
        <v>0.79864085897196158</v>
      </c>
      <c r="Q104" s="24">
        <f ca="1">OFFSET(PTRA!T$218,$E104,0)</f>
        <v>0.80014418379960661</v>
      </c>
      <c r="R104" s="24">
        <f ca="1">OFFSET(PTRA!U$218,$E104,0)</f>
        <v>0.80164750862725165</v>
      </c>
      <c r="S104" s="24">
        <f ca="1">OFFSET(PTRA!V$218,$E104,0)</f>
        <v>0.80315083345489668</v>
      </c>
      <c r="T104" s="24">
        <f ca="1">OFFSET(PTRA!W$218,$E104,0)</f>
        <v>0.80465415828254172</v>
      </c>
      <c r="U104" s="24">
        <f ca="1">OFFSET(PTRA!X$218,$E104,0)</f>
        <v>0.80615748311018676</v>
      </c>
      <c r="V104" s="24">
        <f ca="1">OFFSET(PTRA!Y$218,$E104,0)</f>
        <v>0.80766080793783179</v>
      </c>
      <c r="W104" s="24">
        <f ca="1">OFFSET(PTRA!Z$218,$E104,0)</f>
        <v>0.80916413276547683</v>
      </c>
      <c r="X104" s="24">
        <f ca="1">OFFSET(PTRA!AA$218,$E104,0)</f>
        <v>0.81066745759312187</v>
      </c>
      <c r="Y104" s="24">
        <f ca="1">OFFSET(PTRA!AB$218,$E104,0)</f>
        <v>0.81217078242076668</v>
      </c>
      <c r="Z104" s="24">
        <f ca="1">OFFSET(PTRA!AC$218,$E104,0)</f>
        <v>0.80722998005492086</v>
      </c>
      <c r="AA104" s="24">
        <f ca="1">OFFSET(PTRA!AD$218,$E104,0)</f>
        <v>0.80228917768907504</v>
      </c>
      <c r="AB104" s="24">
        <f ca="1">OFFSET(PTRA!AE$218,$E104,0)</f>
        <v>0.79734837532322922</v>
      </c>
      <c r="AC104" s="24">
        <f ca="1">OFFSET(PTRA!AF$218,$E104,0)</f>
        <v>0.7924075729573834</v>
      </c>
      <c r="AD104" s="24">
        <f ca="1">OFFSET(PTRA!AG$218,$E104,0)</f>
        <v>0.78746677059153758</v>
      </c>
      <c r="AE104" s="24">
        <f ca="1">OFFSET(PTRA!AH$218,$E104,0)</f>
        <v>0.78252596822569176</v>
      </c>
      <c r="AF104" s="24">
        <f ca="1">OFFSET(PTRA!AI$218,$E104,0)</f>
        <v>0.77758516585984594</v>
      </c>
      <c r="AG104" s="24">
        <f ca="1">OFFSET(PTRA!AJ$218,$E104,0)</f>
        <v>0.77264436349400012</v>
      </c>
      <c r="AH104" s="24">
        <f ca="1">OFFSET(PTRA!AK$218,$E104,0)</f>
        <v>0.7677035611281543</v>
      </c>
      <c r="AI104" s="24">
        <f ca="1">OFFSET(PTRA!AL$218,$E104,0)</f>
        <v>0.7627627587623087</v>
      </c>
      <c r="AJ104" s="24">
        <f ca="1">OFFSET(PTRA!AM$218,$E104,0)</f>
        <v>0.7249555990057408</v>
      </c>
      <c r="AK104" s="24">
        <f ca="1">OFFSET(PTRA!AN$218,$E104,0)</f>
        <v>0.68714843924917279</v>
      </c>
      <c r="AL104" s="24">
        <f ca="1">OFFSET(PTRA!AO$218,$E104,0)</f>
        <v>0.68714843924917279</v>
      </c>
      <c r="AM104" s="24">
        <f ca="1">OFFSET(PTRA!AP$218,$E104,0)</f>
        <v>0.68714843924917279</v>
      </c>
    </row>
    <row r="105" spans="1:39">
      <c r="A105" s="35" t="s">
        <v>133</v>
      </c>
      <c r="B105" t="s">
        <v>386</v>
      </c>
      <c r="E105" s="129">
        <f>MATCH(F105,PTRA!$D$219:$D$226,0)</f>
        <v>8</v>
      </c>
      <c r="F105" s="4" t="str">
        <f t="shared" si="1"/>
        <v>TPPUGAT</v>
      </c>
      <c r="G105" s="24">
        <f ca="1">OFFSET(PTRA!J$218,$E105,0)</f>
        <v>0</v>
      </c>
      <c r="H105" s="24">
        <f ca="1">OFFSET(PTRA!K$218,$E105,0)</f>
        <v>0.55248564192940541</v>
      </c>
      <c r="I105" s="24">
        <f ca="1">OFFSET(PTRA!L$218,$E105,0)</f>
        <v>0.57044550348095591</v>
      </c>
      <c r="J105" s="24">
        <f ca="1">OFFSET(PTRA!M$218,$E105,0)</f>
        <v>0.58840536503250629</v>
      </c>
      <c r="K105" s="24">
        <f ca="1">OFFSET(PTRA!N$218,$E105,0)</f>
        <v>0.60651580293507878</v>
      </c>
      <c r="L105" s="24">
        <f ca="1">OFFSET(PTRA!O$218,$E105,0)</f>
        <v>0.62462624083765128</v>
      </c>
      <c r="M105" s="24">
        <f ca="1">OFFSET(PTRA!P$218,$E105,0)</f>
        <v>0.64844460531963566</v>
      </c>
      <c r="N105" s="24">
        <f ca="1">OFFSET(PTRA!Q$218,$E105,0)</f>
        <v>0.67226296980162004</v>
      </c>
      <c r="O105" s="24">
        <f ca="1">OFFSET(PTRA!R$218,$E105,0)</f>
        <v>0.64616666359533781</v>
      </c>
      <c r="P105" s="24">
        <f ca="1">OFFSET(PTRA!S$218,$E105,0)</f>
        <v>0.64672402075743496</v>
      </c>
      <c r="Q105" s="24">
        <f ca="1">OFFSET(PTRA!T$218,$E105,0)</f>
        <v>0.66645524691108848</v>
      </c>
      <c r="R105" s="24">
        <f ca="1">OFFSET(PTRA!U$218,$E105,0)</f>
        <v>0.68618647306474201</v>
      </c>
      <c r="S105" s="24">
        <f ca="1">OFFSET(PTRA!V$218,$E105,0)</f>
        <v>0.70591769921839553</v>
      </c>
      <c r="T105" s="24">
        <f ca="1">OFFSET(PTRA!W$218,$E105,0)</f>
        <v>0.72564892537204906</v>
      </c>
      <c r="U105" s="24">
        <f ca="1">OFFSET(PTRA!X$218,$E105,0)</f>
        <v>0.74538015152570258</v>
      </c>
      <c r="V105" s="24">
        <f ca="1">OFFSET(PTRA!Y$218,$E105,0)</f>
        <v>0.76511137767935611</v>
      </c>
      <c r="W105" s="24">
        <f ca="1">OFFSET(PTRA!Z$218,$E105,0)</f>
        <v>0.78484260383300963</v>
      </c>
      <c r="X105" s="24">
        <f ca="1">OFFSET(PTRA!AA$218,$E105,0)</f>
        <v>0.80457382998666316</v>
      </c>
      <c r="Y105" s="24">
        <f ca="1">OFFSET(PTRA!AB$218,$E105,0)</f>
        <v>0.82430505614031691</v>
      </c>
      <c r="Z105" s="24">
        <f ca="1">OFFSET(PTRA!AC$218,$E105,0)</f>
        <v>0.84744076044105265</v>
      </c>
      <c r="AA105" s="24">
        <f ca="1">OFFSET(PTRA!AD$218,$E105,0)</f>
        <v>0.8705764647417884</v>
      </c>
      <c r="AB105" s="24">
        <f ca="1">OFFSET(PTRA!AE$218,$E105,0)</f>
        <v>0.89371216904252415</v>
      </c>
      <c r="AC105" s="24">
        <f ca="1">OFFSET(PTRA!AF$218,$E105,0)</f>
        <v>0.9168478733432599</v>
      </c>
      <c r="AD105" s="24">
        <f ca="1">OFFSET(PTRA!AG$218,$E105,0)</f>
        <v>0.93998357764399565</v>
      </c>
      <c r="AE105" s="24">
        <f ca="1">OFFSET(PTRA!AH$218,$E105,0)</f>
        <v>0.9631192819447314</v>
      </c>
      <c r="AF105" s="24">
        <f ca="1">OFFSET(PTRA!AI$218,$E105,0)</f>
        <v>0.98625498624546715</v>
      </c>
      <c r="AG105" s="24">
        <f ca="1">OFFSET(PTRA!AJ$218,$E105,0)</f>
        <v>1.0093906905462029</v>
      </c>
      <c r="AH105" s="24">
        <f ca="1">OFFSET(PTRA!AK$218,$E105,0)</f>
        <v>1.0325263948469388</v>
      </c>
      <c r="AI105" s="24">
        <f ca="1">OFFSET(PTRA!AL$218,$E105,0)</f>
        <v>1.0556620991476746</v>
      </c>
      <c r="AJ105" s="24">
        <f ca="1">OFFSET(PTRA!AM$218,$E105,0)</f>
        <v>1.1651513669786351</v>
      </c>
      <c r="AK105" s="24">
        <f ca="1">OFFSET(PTRA!AN$218,$E105,0)</f>
        <v>1.2746406348095956</v>
      </c>
      <c r="AL105" s="24">
        <f ca="1">OFFSET(PTRA!AO$218,$E105,0)</f>
        <v>1.2746406348095956</v>
      </c>
      <c r="AM105" s="24">
        <f ca="1">OFFSET(PTRA!AP$218,$E105,0)</f>
        <v>1.2746406348095956</v>
      </c>
    </row>
    <row r="106" spans="1:39">
      <c r="A106" s="35" t="s">
        <v>130</v>
      </c>
      <c r="B106">
        <v>8.3842691666009994</v>
      </c>
      <c r="E106" s="129">
        <f>MATCH(F106,PTRA!$D$219:$D$226,0)</f>
        <v>5</v>
      </c>
      <c r="F106" s="4" t="str">
        <f t="shared" si="1"/>
        <v>TPPUMBT</v>
      </c>
      <c r="G106" s="24">
        <f ca="1">OFFSET(PTRA!J$218,$E106,0)</f>
        <v>6.4978638621089795</v>
      </c>
      <c r="H106" s="24">
        <f ca="1">OFFSET(PTRA!K$218,$E106,0)</f>
        <v>6.2129452564268437</v>
      </c>
      <c r="I106" s="24">
        <f ca="1">OFFSET(PTRA!L$218,$E106,0)</f>
        <v>6.5128577066124906</v>
      </c>
      <c r="J106" s="24">
        <f ca="1">OFFSET(PTRA!M$218,$E106,0)</f>
        <v>6.8127701567981385</v>
      </c>
      <c r="K106" s="24">
        <f ca="1">OFFSET(PTRA!N$218,$E106,0)</f>
        <v>7.0016088184448213</v>
      </c>
      <c r="L106" s="24">
        <f ca="1">OFFSET(PTRA!O$218,$E106,0)</f>
        <v>7.1904474800915041</v>
      </c>
      <c r="M106" s="24">
        <f ca="1">OFFSET(PTRA!P$218,$E106,0)</f>
        <v>7.2744325340675111</v>
      </c>
      <c r="N106" s="24">
        <f ca="1">OFFSET(PTRA!Q$218,$E106,0)</f>
        <v>7.3584175880435181</v>
      </c>
      <c r="O106" s="24">
        <f ca="1">OFFSET(PTRA!R$218,$E106,0)</f>
        <v>7.6076222092311436</v>
      </c>
      <c r="P106" s="24">
        <f ca="1">OFFSET(PTRA!S$218,$E106,0)</f>
        <v>7.5450747173630077</v>
      </c>
      <c r="Q106" s="24">
        <f ca="1">OFFSET(PTRA!T$218,$E106,0)</f>
        <v>7.5592772190527517</v>
      </c>
      <c r="R106" s="24">
        <f ca="1">OFFSET(PTRA!U$218,$E106,0)</f>
        <v>7.5734797207424958</v>
      </c>
      <c r="S106" s="24">
        <f ca="1">OFFSET(PTRA!V$218,$E106,0)</f>
        <v>7.5876822224322398</v>
      </c>
      <c r="T106" s="24">
        <f ca="1">OFFSET(PTRA!W$218,$E106,0)</f>
        <v>7.6018847241219838</v>
      </c>
      <c r="U106" s="24">
        <f ca="1">OFFSET(PTRA!X$218,$E106,0)</f>
        <v>7.6160872258117278</v>
      </c>
      <c r="V106" s="24">
        <f ca="1">OFFSET(PTRA!Y$218,$E106,0)</f>
        <v>7.6302897275014718</v>
      </c>
      <c r="W106" s="24">
        <f ca="1">OFFSET(PTRA!Z$218,$E106,0)</f>
        <v>7.6444922291912158</v>
      </c>
      <c r="X106" s="24">
        <f ca="1">OFFSET(PTRA!AA$218,$E106,0)</f>
        <v>7.6586947308809599</v>
      </c>
      <c r="Y106" s="24">
        <f ca="1">OFFSET(PTRA!AB$218,$E106,0)</f>
        <v>7.6728972325707065</v>
      </c>
      <c r="Z106" s="24">
        <f ca="1">OFFSET(PTRA!AC$218,$E106,0)</f>
        <v>7.6262195268219468</v>
      </c>
      <c r="AA106" s="24">
        <f ca="1">OFFSET(PTRA!AD$218,$E106,0)</f>
        <v>7.5795418210731871</v>
      </c>
      <c r="AB106" s="24">
        <f ca="1">OFFSET(PTRA!AE$218,$E106,0)</f>
        <v>7.5328641153244273</v>
      </c>
      <c r="AC106" s="24">
        <f ca="1">OFFSET(PTRA!AF$218,$E106,0)</f>
        <v>7.4861864095756676</v>
      </c>
      <c r="AD106" s="24">
        <f ca="1">OFFSET(PTRA!AG$218,$E106,0)</f>
        <v>7.4395087038269079</v>
      </c>
      <c r="AE106" s="24">
        <f ca="1">OFFSET(PTRA!AH$218,$E106,0)</f>
        <v>7.3928309980781481</v>
      </c>
      <c r="AF106" s="24">
        <f ca="1">OFFSET(PTRA!AI$218,$E106,0)</f>
        <v>7.3461532923293884</v>
      </c>
      <c r="AG106" s="24">
        <f ca="1">OFFSET(PTRA!AJ$218,$E106,0)</f>
        <v>7.2994755865806287</v>
      </c>
      <c r="AH106" s="24">
        <f ca="1">OFFSET(PTRA!AK$218,$E106,0)</f>
        <v>7.2527978808318689</v>
      </c>
      <c r="AI106" s="24">
        <f ca="1">OFFSET(PTRA!AL$218,$E106,0)</f>
        <v>7.2061201750831048</v>
      </c>
      <c r="AJ106" s="24">
        <f ca="1">OFFSET(PTRA!AM$218,$E106,0)</f>
        <v>6.8489410475566483</v>
      </c>
      <c r="AK106" s="24">
        <f ca="1">OFFSET(PTRA!AN$218,$E106,0)</f>
        <v>6.4917619200301919</v>
      </c>
      <c r="AL106" s="24">
        <f ca="1">OFFSET(PTRA!AO$218,$E106,0)</f>
        <v>6.4917619200301919</v>
      </c>
      <c r="AM106" s="24">
        <f ca="1">OFFSET(PTRA!AP$218,$E106,0)</f>
        <v>6.4917619200301919</v>
      </c>
    </row>
    <row r="107" spans="1:39">
      <c r="A107" s="35" t="s">
        <v>132</v>
      </c>
      <c r="B107">
        <v>13.9</v>
      </c>
      <c r="E107" s="130">
        <f>MATCH(F107,PTRA!$D$219:$D$226,0)</f>
        <v>7</v>
      </c>
      <c r="F107" s="4" t="str">
        <f t="shared" si="1"/>
        <v>TPPUMER</v>
      </c>
      <c r="G107" s="24">
        <f ca="1">OFFSET(PTRA!J$218,$E107,0)</f>
        <v>15.8</v>
      </c>
      <c r="H107" s="24">
        <f ca="1">OFFSET(PTRA!K$218,$E107,0)</f>
        <v>13.600515897817941</v>
      </c>
      <c r="I107" s="24">
        <f ca="1">OFFSET(PTRA!L$218,$E107,0)</f>
        <v>12.823088471306509</v>
      </c>
      <c r="J107" s="24">
        <f ca="1">OFFSET(PTRA!M$218,$E107,0)</f>
        <v>12.045661044795077</v>
      </c>
      <c r="K107" s="24">
        <f ca="1">OFFSET(PTRA!N$218,$E107,0)</f>
        <v>10.458317282147467</v>
      </c>
      <c r="L107" s="24">
        <f ca="1">OFFSET(PTRA!O$218,$E107,0)</f>
        <v>8.8709735194998576</v>
      </c>
      <c r="M107" s="24">
        <f ca="1">OFFSET(PTRA!P$218,$E107,0)</f>
        <v>8.9745872642518663</v>
      </c>
      <c r="N107" s="24">
        <f ca="1">OFFSET(PTRA!Q$218,$E107,0)</f>
        <v>9.0782010090038749</v>
      </c>
      <c r="O107" s="24">
        <f ca="1">OFFSET(PTRA!R$218,$E107,0)</f>
        <v>9.3856488558330522</v>
      </c>
      <c r="P107" s="24">
        <f ca="1">OFFSET(PTRA!S$218,$E107,0)</f>
        <v>9.3084829846394115</v>
      </c>
      <c r="Q107" s="24">
        <f ca="1">OFFSET(PTRA!T$218,$E107,0)</f>
        <v>9.3260048449616253</v>
      </c>
      <c r="R107" s="24">
        <f ca="1">OFFSET(PTRA!U$218,$E107,0)</f>
        <v>9.3435267052838391</v>
      </c>
      <c r="S107" s="24">
        <f ca="1">OFFSET(PTRA!V$218,$E107,0)</f>
        <v>9.3610485656060529</v>
      </c>
      <c r="T107" s="24">
        <f ca="1">OFFSET(PTRA!W$218,$E107,0)</f>
        <v>9.3785704259282667</v>
      </c>
      <c r="U107" s="24">
        <f ca="1">OFFSET(PTRA!X$218,$E107,0)</f>
        <v>9.3960922862504805</v>
      </c>
      <c r="V107" s="24">
        <f ca="1">OFFSET(PTRA!Y$218,$E107,0)</f>
        <v>9.4136141465726944</v>
      </c>
      <c r="W107" s="24">
        <f ca="1">OFFSET(PTRA!Z$218,$E107,0)</f>
        <v>9.4311360068949082</v>
      </c>
      <c r="X107" s="24">
        <f ca="1">OFFSET(PTRA!AA$218,$E107,0)</f>
        <v>9.448657867217122</v>
      </c>
      <c r="Y107" s="24">
        <f ca="1">OFFSET(PTRA!AB$218,$E107,0)</f>
        <v>9.4661797275393322</v>
      </c>
      <c r="Z107" s="24">
        <f ca="1">OFFSET(PTRA!AC$218,$E107,0)</f>
        <v>9.408592672937413</v>
      </c>
      <c r="AA107" s="24">
        <f ca="1">OFFSET(PTRA!AD$218,$E107,0)</f>
        <v>9.3510056183354937</v>
      </c>
      <c r="AB107" s="24">
        <f ca="1">OFFSET(PTRA!AE$218,$E107,0)</f>
        <v>9.2934185637335744</v>
      </c>
      <c r="AC107" s="24">
        <f ca="1">OFFSET(PTRA!AF$218,$E107,0)</f>
        <v>9.2358315091316552</v>
      </c>
      <c r="AD107" s="24">
        <f ca="1">OFFSET(PTRA!AG$218,$E107,0)</f>
        <v>9.1782444545297359</v>
      </c>
      <c r="AE107" s="24">
        <f ca="1">OFFSET(PTRA!AH$218,$E107,0)</f>
        <v>9.1206573999278167</v>
      </c>
      <c r="AF107" s="24">
        <f ca="1">OFFSET(PTRA!AI$218,$E107,0)</f>
        <v>9.0630703453258974</v>
      </c>
      <c r="AG107" s="24">
        <f ca="1">OFFSET(PTRA!AJ$218,$E107,0)</f>
        <v>9.0054832907239781</v>
      </c>
      <c r="AH107" s="24">
        <f ca="1">OFFSET(PTRA!AK$218,$E107,0)</f>
        <v>8.9478962361220589</v>
      </c>
      <c r="AI107" s="24">
        <f ca="1">OFFSET(PTRA!AL$218,$E107,0)</f>
        <v>8.8903091815201449</v>
      </c>
      <c r="AJ107" s="24">
        <f ca="1">OFFSET(PTRA!AM$218,$E107,0)</f>
        <v>8.4496514073304176</v>
      </c>
      <c r="AK107" s="24">
        <f ca="1">OFFSET(PTRA!AN$218,$E107,0)</f>
        <v>8.0089936331406903</v>
      </c>
      <c r="AL107" s="24">
        <f ca="1">OFFSET(PTRA!AO$218,$E107,0)</f>
        <v>8.0089936331406903</v>
      </c>
      <c r="AM107" s="24">
        <f ca="1">OFFSET(PTRA!AP$218,$E107,0)</f>
        <v>8.0089936331406903</v>
      </c>
    </row>
    <row r="108" spans="1:39">
      <c r="A108" s="35" t="s">
        <v>158</v>
      </c>
      <c r="B108">
        <v>0.1024485696</v>
      </c>
      <c r="E108" s="131">
        <f>MATCH(F108,OtherTRA!$D$47:$D$51,0)</f>
        <v>5</v>
      </c>
      <c r="F108" s="4" t="str">
        <f t="shared" si="1"/>
        <v>TSHFO</v>
      </c>
      <c r="G108" s="24">
        <f ca="1">OFFSET(OtherTRA!J$46,$E108,0)</f>
        <v>4.5090000000000003</v>
      </c>
      <c r="H108" s="24">
        <f ca="1">OFFSET(OtherTRA!K$46,$E108,0)</f>
        <v>4.4958157894736841</v>
      </c>
      <c r="I108" s="24">
        <f ca="1">OFFSET(OtherTRA!L$46,$E108,0)</f>
        <v>4.4826315789473679</v>
      </c>
      <c r="J108" s="24">
        <f ca="1">OFFSET(OtherTRA!M$46,$E108,0)</f>
        <v>4.4694473684210525</v>
      </c>
      <c r="K108" s="24">
        <f ca="1">OFFSET(OtherTRA!N$46,$E108,0)</f>
        <v>4.4890306892105265</v>
      </c>
      <c r="L108" s="24">
        <f ca="1">OFFSET(OtherTRA!O$46,$E108,0)</f>
        <v>4.5086140100000014</v>
      </c>
      <c r="M108" s="24">
        <f ca="1">OFFSET(OtherTRA!P$46,$E108,0)</f>
        <v>4.4099254260526326</v>
      </c>
      <c r="N108" s="24">
        <f ca="1">OFFSET(OtherTRA!Q$46,$E108,0)</f>
        <v>4.3112368421052647</v>
      </c>
      <c r="O108" s="24">
        <f ca="1">OFFSET(OtherTRA!R$46,$E108,0)</f>
        <v>4.3112368421052647</v>
      </c>
      <c r="P108" s="24">
        <f ca="1">OFFSET(OtherTRA!S$46,$E108,0)</f>
        <v>3.9157105263157894</v>
      </c>
      <c r="Q108" s="24">
        <f ca="1">OFFSET(OtherTRA!T$46,$E108,0)</f>
        <v>3.5201842105263141</v>
      </c>
      <c r="R108" s="24">
        <f ca="1">OFFSET(OtherTRA!U$46,$E108,0)</f>
        <v>3.1246578947368389</v>
      </c>
      <c r="S108" s="24">
        <f ca="1">OFFSET(OtherTRA!V$46,$E108,0)</f>
        <v>2.7291315789473636</v>
      </c>
      <c r="T108" s="24">
        <f ca="1">OFFSET(OtherTRA!W$46,$E108,0)</f>
        <v>2.3336052631578883</v>
      </c>
      <c r="U108" s="24">
        <f ca="1">OFFSET(OtherTRA!X$46,$E108,0)</f>
        <v>1.938078947368413</v>
      </c>
      <c r="V108" s="24">
        <f ca="1">OFFSET(OtherTRA!Y$46,$E108,0)</f>
        <v>1.5425526315789377</v>
      </c>
      <c r="W108" s="24">
        <f ca="1">OFFSET(OtherTRA!Z$46,$E108,0)</f>
        <v>1.1470263157894625</v>
      </c>
      <c r="X108" s="24">
        <f ca="1">OFFSET(OtherTRA!AA$46,$E108,0)</f>
        <v>0.75149999999998718</v>
      </c>
      <c r="Y108" s="24">
        <f ca="1">OFFSET(OtherTRA!AB$46,$E108,0)</f>
        <v>3.9157105263157894</v>
      </c>
      <c r="Z108" s="24">
        <f ca="1">OFFSET(OtherTRA!AC$46,$E108,0)</f>
        <v>3.8813285825217405</v>
      </c>
      <c r="AA108" s="24">
        <f ca="1">OFFSET(OtherTRA!AD$46,$E108,0)</f>
        <v>3.8469466387276916</v>
      </c>
      <c r="AB108" s="24">
        <f ca="1">OFFSET(OtherTRA!AE$46,$E108,0)</f>
        <v>3.8125646949336427</v>
      </c>
      <c r="AC108" s="24">
        <f ca="1">OFFSET(OtherTRA!AF$46,$E108,0)</f>
        <v>3.7781827511395938</v>
      </c>
      <c r="AD108" s="24">
        <f ca="1">OFFSET(OtherTRA!AG$46,$E108,0)</f>
        <v>3.7438008073455449</v>
      </c>
      <c r="AE108" s="24">
        <f ca="1">OFFSET(OtherTRA!AH$46,$E108,0)</f>
        <v>3.709418863551496</v>
      </c>
      <c r="AF108" s="24">
        <f ca="1">OFFSET(OtherTRA!AI$46,$E108,0)</f>
        <v>3.6750369197574471</v>
      </c>
      <c r="AG108" s="24">
        <f ca="1">OFFSET(OtherTRA!AJ$46,$E108,0)</f>
        <v>3.6406549759633982</v>
      </c>
      <c r="AH108" s="24">
        <f ca="1">OFFSET(OtherTRA!AK$46,$E108,0)</f>
        <v>3.6062730321693492</v>
      </c>
      <c r="AI108" s="24">
        <f ca="1">OFFSET(OtherTRA!AL$46,$E108,0)</f>
        <v>3.8813285825217405</v>
      </c>
      <c r="AJ108" s="24">
        <f ca="1">OFFSET(OtherTRA!AM$46,$E108,0)</f>
        <v>4.2347169228398176</v>
      </c>
      <c r="AK108" s="24">
        <f ca="1">OFFSET(OtherTRA!AN$46,$E108,0)</f>
        <v>4.5881052631578942</v>
      </c>
      <c r="AL108" s="24">
        <f ca="1">OFFSET(OtherTRA!AO$46,$E108,0)</f>
        <v>4.5881052631578942</v>
      </c>
      <c r="AM108" s="24">
        <f ca="1">OFFSET(OtherTRA!AP$46,$E108,0)</f>
        <v>4.5881052631578942</v>
      </c>
    </row>
    <row r="109" spans="1:39">
      <c r="A109" s="35" t="s">
        <v>239</v>
      </c>
      <c r="B109">
        <v>82.184767358499997</v>
      </c>
      <c r="E109" s="128">
        <f>MATCH(F109,COM!$D$248:$D$266,0)</f>
        <v>1</v>
      </c>
      <c r="F109" s="4" t="str">
        <f t="shared" si="1"/>
        <v>CEC</v>
      </c>
      <c r="G109" s="24">
        <f ca="1">OFFSET(COM!J$247,$E109,0)</f>
        <v>139.66439435388435</v>
      </c>
      <c r="H109" s="24">
        <f ca="1">OFFSET(COM!K$247,$E109,0)</f>
        <v>135.91206875329351</v>
      </c>
      <c r="I109" s="24">
        <f ca="1">OFFSET(COM!L$247,$E109,0)</f>
        <v>132.46001856592557</v>
      </c>
      <c r="J109" s="24">
        <f ca="1">OFFSET(COM!M$247,$E109,0)</f>
        <v>128.70532315183087</v>
      </c>
      <c r="K109" s="24">
        <f ca="1">OFFSET(COM!N$247,$E109,0)</f>
        <v>124.79103145901988</v>
      </c>
      <c r="L109" s="24">
        <f ca="1">OFFSET(COM!O$247,$E109,0)</f>
        <v>120.28334032399778</v>
      </c>
      <c r="M109" s="24">
        <f ca="1">OFFSET(COM!P$247,$E109,0)</f>
        <v>119.47615719794113</v>
      </c>
      <c r="N109" s="24">
        <f ca="1">OFFSET(COM!Q$247,$E109,0)</f>
        <v>118.6958707269869</v>
      </c>
      <c r="O109" s="194">
        <f ca="1">OFFSET(COM!R$247,$E109,0)</f>
        <v>117.73360400439491</v>
      </c>
      <c r="P109" s="24">
        <f ca="1">OFFSET(COM!S$247,$E109,0)</f>
        <v>117.02298462364368</v>
      </c>
      <c r="Q109" s="24">
        <f ca="1">OFFSET(COM!T$247,$E109,0)</f>
        <v>116.30611312355676</v>
      </c>
      <c r="R109" s="24">
        <f ca="1">OFFSET(COM!U$247,$E109,0)</f>
        <v>115.58535851918907</v>
      </c>
      <c r="S109" s="24">
        <f ca="1">OFFSET(COM!V$247,$E109,0)</f>
        <v>114.85720900554546</v>
      </c>
      <c r="T109" s="194">
        <f ca="1">OFFSET(COM!W$247,$E109,0)</f>
        <v>114.1355148680247</v>
      </c>
      <c r="U109" s="24">
        <f ca="1">OFFSET(COM!X$247,$E109,0)</f>
        <v>113.45256348408415</v>
      </c>
      <c r="V109" s="24">
        <f ca="1">OFFSET(COM!Y$247,$E109,0)</f>
        <v>112.76341231870671</v>
      </c>
      <c r="W109" s="24">
        <f ca="1">OFFSET(COM!Z$247,$E109,0)</f>
        <v>112.0835053892587</v>
      </c>
      <c r="X109" s="24">
        <f ca="1">OFFSET(COM!AA$247,$E109,0)</f>
        <v>111.40940806705792</v>
      </c>
      <c r="Y109" s="206">
        <f ca="1">OFFSET(COM!AB$247,$E109,0)</f>
        <v>110.74032568037288</v>
      </c>
      <c r="Z109" s="24">
        <f ca="1">OFFSET(COM!AC$247,$E109,0)</f>
        <v>110.11486141193454</v>
      </c>
      <c r="AA109" s="24">
        <f ca="1">OFFSET(COM!AD$247,$E109,0)</f>
        <v>109.47927534687243</v>
      </c>
      <c r="AB109" s="24">
        <f ca="1">OFFSET(COM!AE$247,$E109,0)</f>
        <v>108.86920300329494</v>
      </c>
      <c r="AC109" s="24">
        <f ca="1">OFFSET(COM!AF$247,$E109,0)</f>
        <v>108.27886890812601</v>
      </c>
      <c r="AD109" s="24">
        <f ca="1">OFFSET(COM!AG$247,$E109,0)</f>
        <v>107.70615072281723</v>
      </c>
      <c r="AE109" s="24">
        <f ca="1">OFFSET(COM!AH$247,$E109,0)</f>
        <v>107.14501876070941</v>
      </c>
      <c r="AF109" s="24">
        <f ca="1">OFFSET(COM!AI$247,$E109,0)</f>
        <v>106.59342486520313</v>
      </c>
      <c r="AG109" s="24">
        <f ca="1">OFFSET(COM!AJ$247,$E109,0)</f>
        <v>106.04220847784939</v>
      </c>
      <c r="AH109" s="24">
        <f ca="1">OFFSET(COM!AK$247,$E109,0)</f>
        <v>105.50101105723209</v>
      </c>
      <c r="AI109" s="24">
        <f ca="1">OFFSET(COM!AL$247,$E109,0)</f>
        <v>104.97830667320031</v>
      </c>
      <c r="AJ109" s="24">
        <f ca="1">OFFSET(COM!AM$247,$E109,0)</f>
        <v>102.53051204356318</v>
      </c>
      <c r="AK109" s="24">
        <f ca="1">OFFSET(COM!AN$247,$E109,0)</f>
        <v>100.44957249876138</v>
      </c>
      <c r="AL109" s="24">
        <f ca="1">OFFSET(COM!AO$247,$E109,0)</f>
        <v>100.44957249876138</v>
      </c>
      <c r="AM109" s="24">
        <f ca="1">OFFSET(COM!AP$247,$E109,0)</f>
        <v>100.44957249876138</v>
      </c>
    </row>
    <row r="110" spans="1:39">
      <c r="A110" s="35" t="s">
        <v>245</v>
      </c>
      <c r="B110">
        <v>9.1664843454099998</v>
      </c>
      <c r="E110" s="128">
        <f>MATCH(F110,COM!$D$248:$D$266,0)</f>
        <v>7</v>
      </c>
      <c r="F110" s="4" t="str">
        <f t="shared" si="1"/>
        <v>CEG</v>
      </c>
      <c r="G110" s="24">
        <f ca="1">OFFSET(COM!J$247,$E110,0)</f>
        <v>10.30055287377321</v>
      </c>
      <c r="H110" s="24">
        <f ca="1">OFFSET(COM!K$247,$E110,0)</f>
        <v>10.023810698880988</v>
      </c>
      <c r="I110" s="24">
        <f ca="1">OFFSET(COM!L$247,$E110,0)</f>
        <v>9.7692144888562282</v>
      </c>
      <c r="J110" s="24">
        <f ca="1">OFFSET(COM!M$247,$E110,0)</f>
        <v>9.4922975350634147</v>
      </c>
      <c r="K110" s="24">
        <f ca="1">OFFSET(COM!N$247,$E110,0)</f>
        <v>9.2036100085703758</v>
      </c>
      <c r="L110" s="24">
        <f ca="1">OFFSET(COM!O$247,$E110,0)</f>
        <v>8.8711579824850144</v>
      </c>
      <c r="M110" s="24">
        <f ca="1">OFFSET(COM!P$247,$E110,0)</f>
        <v>8.9283467453532221</v>
      </c>
      <c r="N110" s="24">
        <f ca="1">OFFSET(COM!Q$247,$E110,0)</f>
        <v>8.995453942310931</v>
      </c>
      <c r="O110" s="194">
        <f ca="1">OFFSET(COM!R$247,$E110,0)</f>
        <v>8.995453942310931</v>
      </c>
      <c r="P110" s="24">
        <f ca="1">OFFSET(COM!S$247,$E110,0)</f>
        <v>9.0882516364607788</v>
      </c>
      <c r="Q110" s="24">
        <f ca="1">OFFSET(COM!T$247,$E110,0)</f>
        <v>9.1787437936092946</v>
      </c>
      <c r="R110" s="24">
        <f ca="1">OFFSET(COM!U$247,$E110,0)</f>
        <v>9.2678040138227225</v>
      </c>
      <c r="S110" s="24">
        <f ca="1">OFFSET(COM!V$247,$E110,0)</f>
        <v>9.3541372808156904</v>
      </c>
      <c r="T110" s="194">
        <f ca="1">OFFSET(COM!W$247,$E110,0)</f>
        <v>9.4428510379608159</v>
      </c>
      <c r="U110" s="24">
        <f ca="1">OFFSET(COM!X$247,$E110,0)</f>
        <v>9.5458516068439963</v>
      </c>
      <c r="V110" s="24">
        <f ca="1">OFFSET(COM!Y$247,$E110,0)</f>
        <v>9.6465659388952307</v>
      </c>
      <c r="W110" s="24">
        <f ca="1">OFFSET(COM!Z$247,$E110,0)</f>
        <v>9.750689183483173</v>
      </c>
      <c r="X110" s="24">
        <f ca="1">OFFSET(COM!AA$247,$E110,0)</f>
        <v>9.8569547839271863</v>
      </c>
      <c r="Y110" s="206">
        <f ca="1">OFFSET(COM!AB$247,$E110,0)</f>
        <v>9.9650696963836705</v>
      </c>
      <c r="Z110" s="24">
        <f ca="1">OFFSET(COM!AC$247,$E110,0)</f>
        <v>10.089269264322065</v>
      </c>
      <c r="AA110" s="24">
        <f ca="1">OFFSET(COM!AD$247,$E110,0)</f>
        <v>10.209736309673625</v>
      </c>
      <c r="AB110" s="24">
        <f ca="1">OFFSET(COM!AE$247,$E110,0)</f>
        <v>10.339611817302737</v>
      </c>
      <c r="AC110" s="24">
        <f ca="1">OFFSET(COM!AF$247,$E110,0)</f>
        <v>10.47676601870017</v>
      </c>
      <c r="AD110" s="24">
        <f ca="1">OFFSET(COM!AG$247,$E110,0)</f>
        <v>10.620416278444232</v>
      </c>
      <c r="AE110" s="24">
        <f ca="1">OFFSET(COM!AH$247,$E110,0)</f>
        <v>10.768339084002173</v>
      </c>
      <c r="AF110" s="24">
        <f ca="1">OFFSET(COM!AI$247,$E110,0)</f>
        <v>10.919779155352776</v>
      </c>
      <c r="AG110" s="24">
        <f ca="1">OFFSET(COM!AJ$247,$E110,0)</f>
        <v>11.071358436940297</v>
      </c>
      <c r="AH110" s="24">
        <f ca="1">OFFSET(COM!AK$247,$E110,0)</f>
        <v>11.226632321475375</v>
      </c>
      <c r="AI110" s="24">
        <f ca="1">OFFSET(COM!AL$247,$E110,0)</f>
        <v>11.38872571437644</v>
      </c>
      <c r="AJ110" s="24">
        <f ca="1">OFFSET(COM!AM$247,$E110,0)</f>
        <v>12.260306419665319</v>
      </c>
      <c r="AK110" s="24">
        <f ca="1">OFFSET(COM!AN$247,$E110,0)</f>
        <v>13.267168927300476</v>
      </c>
      <c r="AL110" s="24">
        <f ca="1">OFFSET(COM!AO$247,$E110,0)</f>
        <v>13.267168927300476</v>
      </c>
      <c r="AM110" s="24">
        <f ca="1">OFFSET(COM!AP$247,$E110,0)</f>
        <v>13.267168927300476</v>
      </c>
    </row>
    <row r="111" spans="1:39">
      <c r="A111" s="35" t="s">
        <v>240</v>
      </c>
      <c r="B111">
        <v>29.897246584059999</v>
      </c>
      <c r="E111" s="128">
        <f>MATCH(F111,COM!$D$248:$D$266,0)</f>
        <v>2</v>
      </c>
      <c r="F111" s="4" t="str">
        <f t="shared" si="1"/>
        <v>CEH</v>
      </c>
      <c r="G111" s="24">
        <f ca="1">OFFSET(COM!J$247,$E111,0)</f>
        <v>7.8517549075018991</v>
      </c>
      <c r="H111" s="24">
        <f ca="1">OFFSET(COM!K$247,$E111,0)</f>
        <v>8.5481458503642624</v>
      </c>
      <c r="I111" s="24">
        <f ca="1">OFFSET(COM!L$247,$E111,0)</f>
        <v>9.282962289600075</v>
      </c>
      <c r="J111" s="24">
        <f ca="1">OFFSET(COM!M$247,$E111,0)</f>
        <v>10.018335457385795</v>
      </c>
      <c r="K111" s="24">
        <f ca="1">OFFSET(COM!N$247,$E111,0)</f>
        <v>10.761970407471427</v>
      </c>
      <c r="L111" s="24">
        <f ca="1">OFFSET(COM!O$247,$E111,0)</f>
        <v>11.470981711368385</v>
      </c>
      <c r="M111" s="24">
        <f ca="1">OFFSET(COM!P$247,$E111,0)</f>
        <v>11.394003612391582</v>
      </c>
      <c r="N111" s="24">
        <f ca="1">OFFSET(COM!Q$247,$E111,0)</f>
        <v>11.319590548921324</v>
      </c>
      <c r="O111" s="194">
        <f ca="1">OFFSET(COM!R$247,$E111,0)</f>
        <v>11.227822695230378</v>
      </c>
      <c r="P111" s="24">
        <f ca="1">OFFSET(COM!S$247,$E111,0)</f>
        <v>11.160053527044788</v>
      </c>
      <c r="Q111" s="24">
        <f ca="1">OFFSET(COM!T$247,$E111,0)</f>
        <v>11.091688117132261</v>
      </c>
      <c r="R111" s="24">
        <f ca="1">OFFSET(COM!U$247,$E111,0)</f>
        <v>11.022952389783685</v>
      </c>
      <c r="S111" s="24">
        <f ca="1">OFFSET(COM!V$247,$E111,0)</f>
        <v>10.953511437016253</v>
      </c>
      <c r="T111" s="194">
        <f ca="1">OFFSET(COM!W$247,$E111,0)</f>
        <v>10.884686109831264</v>
      </c>
      <c r="U111" s="24">
        <f ca="1">OFFSET(COM!X$247,$E111,0)</f>
        <v>10.819555537186426</v>
      </c>
      <c r="V111" s="24">
        <f ca="1">OFFSET(COM!Y$247,$E111,0)</f>
        <v>10.753833714088405</v>
      </c>
      <c r="W111" s="24">
        <f ca="1">OFFSET(COM!Z$247,$E111,0)</f>
        <v>10.688993479920295</v>
      </c>
      <c r="X111" s="24">
        <f ca="1">OFFSET(COM!AA$247,$E111,0)</f>
        <v>10.624707286721645</v>
      </c>
      <c r="Y111" s="206">
        <f ca="1">OFFSET(COM!AB$247,$E111,0)</f>
        <v>10.560899349559364</v>
      </c>
      <c r="Z111" s="24">
        <f ca="1">OFFSET(COM!AC$247,$E111,0)</f>
        <v>10.501251112612795</v>
      </c>
      <c r="AA111" s="24">
        <f ca="1">OFFSET(COM!AD$247,$E111,0)</f>
        <v>10.440637596986363</v>
      </c>
      <c r="AB111" s="24">
        <f ca="1">OFFSET(COM!AE$247,$E111,0)</f>
        <v>10.382457231551394</v>
      </c>
      <c r="AC111" s="24">
        <f ca="1">OFFSET(COM!AF$247,$E111,0)</f>
        <v>10.326159230589337</v>
      </c>
      <c r="AD111" s="24">
        <f ca="1">OFFSET(COM!AG$247,$E111,0)</f>
        <v>10.271541194444438</v>
      </c>
      <c r="AE111" s="24">
        <f ca="1">OFFSET(COM!AH$247,$E111,0)</f>
        <v>10.21802809397961</v>
      </c>
      <c r="AF111" s="24">
        <f ca="1">OFFSET(COM!AI$247,$E111,0)</f>
        <v>10.165424603999938</v>
      </c>
      <c r="AG111" s="24">
        <f ca="1">OFFSET(COM!AJ$247,$E111,0)</f>
        <v>10.112857115590407</v>
      </c>
      <c r="AH111" s="24">
        <f ca="1">OFFSET(COM!AK$247,$E111,0)</f>
        <v>10.061245099350931</v>
      </c>
      <c r="AI111" s="24">
        <f ca="1">OFFSET(COM!AL$247,$E111,0)</f>
        <v>10.011396696292536</v>
      </c>
      <c r="AJ111" s="24">
        <f ca="1">OFFSET(COM!AM$247,$E111,0)</f>
        <v>9.7779594858349625</v>
      </c>
      <c r="AK111" s="24">
        <f ca="1">OFFSET(COM!AN$247,$E111,0)</f>
        <v>9.5795079014627049</v>
      </c>
      <c r="AL111" s="24">
        <f ca="1">OFFSET(COM!AO$247,$E111,0)</f>
        <v>9.5795079014627049</v>
      </c>
      <c r="AM111" s="24">
        <f ca="1">OFFSET(COM!AP$247,$E111,0)</f>
        <v>9.5795079014627049</v>
      </c>
    </row>
    <row r="112" spans="1:39">
      <c r="A112" s="35" t="s">
        <v>241</v>
      </c>
      <c r="B112">
        <v>0.29916376652240001</v>
      </c>
      <c r="E112" s="128">
        <f>MATCH(F112,COM!$D$248:$D$266,0)</f>
        <v>3</v>
      </c>
      <c r="F112" s="4" t="str">
        <f t="shared" si="1"/>
        <v>CEK</v>
      </c>
      <c r="G112" s="24">
        <f ca="1">OFFSET(COM!J$247,$E112,0)</f>
        <v>9.8944997565297612</v>
      </c>
      <c r="H112" s="24">
        <f ca="1">OFFSET(COM!K$247,$E112,0)</f>
        <v>9.639891973427412</v>
      </c>
      <c r="I112" s="24">
        <f ca="1">OFFSET(COM!L$247,$E112,0)</f>
        <v>9.4068236837096606</v>
      </c>
      <c r="J112" s="24">
        <f ca="1">OFFSET(COM!M$247,$E112,0)</f>
        <v>9.1525319237345215</v>
      </c>
      <c r="K112" s="24">
        <f ca="1">OFFSET(COM!N$247,$E112,0)</f>
        <v>8.8871468025102622</v>
      </c>
      <c r="L112" s="24">
        <f ca="1">OFFSET(COM!O$247,$E112,0)</f>
        <v>8.579706769854079</v>
      </c>
      <c r="M112" s="24">
        <f ca="1">OFFSET(COM!P$247,$E112,0)</f>
        <v>8.5221310946817272</v>
      </c>
      <c r="N112" s="24">
        <f ca="1">OFFSET(COM!Q$247,$E112,0)</f>
        <v>8.4664739346856805</v>
      </c>
      <c r="O112" s="194">
        <f ca="1">OFFSET(COM!R$247,$E112,0)</f>
        <v>8.3978362805268461</v>
      </c>
      <c r="P112" s="24">
        <f ca="1">OFFSET(COM!S$247,$E112,0)</f>
        <v>8.3471484138996139</v>
      </c>
      <c r="Q112" s="24">
        <f ca="1">OFFSET(COM!T$247,$E112,0)</f>
        <v>8.2960145890004728</v>
      </c>
      <c r="R112" s="24">
        <f ca="1">OFFSET(COM!U$247,$E112,0)</f>
        <v>8.2446037856270387</v>
      </c>
      <c r="S112" s="24">
        <f ca="1">OFFSET(COM!V$247,$E112,0)</f>
        <v>8.1926655097623495</v>
      </c>
      <c r="T112" s="194">
        <f ca="1">OFFSET(COM!W$247,$E112,0)</f>
        <v>8.1411876903006331</v>
      </c>
      <c r="U112" s="24">
        <f ca="1">OFFSET(COM!X$247,$E112,0)</f>
        <v>8.0924733579875081</v>
      </c>
      <c r="V112" s="24">
        <f ca="1">OFFSET(COM!Y$247,$E112,0)</f>
        <v>8.0433168006195892</v>
      </c>
      <c r="W112" s="24">
        <f ca="1">OFFSET(COM!Z$247,$E112,0)</f>
        <v>7.9948196266157501</v>
      </c>
      <c r="X112" s="24">
        <f ca="1">OFFSET(COM!AA$247,$E112,0)</f>
        <v>7.9467368468787738</v>
      </c>
      <c r="Y112" s="206">
        <f ca="1">OFFSET(COM!AB$247,$E112,0)</f>
        <v>7.8990117781604559</v>
      </c>
      <c r="Z112" s="24">
        <f ca="1">OFFSET(COM!AC$247,$E112,0)</f>
        <v>7.8543979521412606</v>
      </c>
      <c r="AA112" s="24">
        <f ca="1">OFFSET(COM!AD$247,$E112,0)</f>
        <v>7.809062147111657</v>
      </c>
      <c r="AB112" s="24">
        <f ca="1">OFFSET(COM!AE$247,$E112,0)</f>
        <v>7.7655462137979203</v>
      </c>
      <c r="AC112" s="24">
        <f ca="1">OFFSET(COM!AF$247,$E112,0)</f>
        <v>7.7234381926941378</v>
      </c>
      <c r="AD112" s="24">
        <f ca="1">OFFSET(COM!AG$247,$E112,0)</f>
        <v>7.6825866992248288</v>
      </c>
      <c r="AE112" s="24">
        <f ca="1">OFFSET(COM!AH$247,$E112,0)</f>
        <v>7.6425616410487764</v>
      </c>
      <c r="AF112" s="24">
        <f ca="1">OFFSET(COM!AI$247,$E112,0)</f>
        <v>7.6032169249248494</v>
      </c>
      <c r="AG112" s="24">
        <f ca="1">OFFSET(COM!AJ$247,$E112,0)</f>
        <v>7.5638991361313668</v>
      </c>
      <c r="AH112" s="24">
        <f ca="1">OFFSET(COM!AK$247,$E112,0)</f>
        <v>7.5252959915812552</v>
      </c>
      <c r="AI112" s="24">
        <f ca="1">OFFSET(COM!AL$247,$E112,0)</f>
        <v>7.4880119393573157</v>
      </c>
      <c r="AJ112" s="24">
        <f ca="1">OFFSET(COM!AM$247,$E112,0)</f>
        <v>7.3134128627225916</v>
      </c>
      <c r="AK112" s="24">
        <f ca="1">OFFSET(COM!AN$247,$E112,0)</f>
        <v>7.1649812424158927</v>
      </c>
      <c r="AL112" s="24">
        <f ca="1">OFFSET(COM!AO$247,$E112,0)</f>
        <v>7.1649812424158927</v>
      </c>
      <c r="AM112" s="24">
        <f ca="1">OFFSET(COM!AP$247,$E112,0)</f>
        <v>7.1649812424158927</v>
      </c>
    </row>
    <row r="113" spans="1:39">
      <c r="A113" s="35" t="s">
        <v>242</v>
      </c>
      <c r="B113">
        <v>177.48088542799999</v>
      </c>
      <c r="E113" s="128">
        <f>MATCH(F113,COM!$D$248:$D$266,0)</f>
        <v>4</v>
      </c>
      <c r="F113" s="4" t="str">
        <f t="shared" si="1"/>
        <v>CEL</v>
      </c>
      <c r="G113" s="24">
        <f ca="1">OFFSET(COM!J$247,$E113,0)</f>
        <v>121.54027190568891</v>
      </c>
      <c r="H113" s="24">
        <f ca="1">OFFSET(COM!K$247,$E113,0)</f>
        <v>118.27488221288776</v>
      </c>
      <c r="I113" s="24">
        <f ca="1">OFFSET(COM!L$247,$E113,0)</f>
        <v>115.2708014638481</v>
      </c>
      <c r="J113" s="24">
        <f ca="1">OFFSET(COM!M$247,$E113,0)</f>
        <v>112.00334948610346</v>
      </c>
      <c r="K113" s="24">
        <f ca="1">OFFSET(COM!N$247,$E113,0)</f>
        <v>108.59701189474154</v>
      </c>
      <c r="L113" s="24">
        <f ca="1">OFFSET(COM!O$247,$E113,0)</f>
        <v>104.67427977141128</v>
      </c>
      <c r="M113" s="24">
        <f ca="1">OFFSET(COM!P$247,$E113,0)</f>
        <v>103.97184407137146</v>
      </c>
      <c r="N113" s="24">
        <f ca="1">OFFSET(COM!Q$247,$E113,0)</f>
        <v>103.29281467176793</v>
      </c>
      <c r="O113" s="194">
        <f ca="1">OFFSET(COM!R$247,$E113,0)</f>
        <v>102.45542043359663</v>
      </c>
      <c r="P113" s="24">
        <f ca="1">OFFSET(COM!S$247,$E113,0)</f>
        <v>101.83701748875505</v>
      </c>
      <c r="Q113" s="24">
        <f ca="1">OFFSET(COM!T$247,$E113,0)</f>
        <v>101.21317375646325</v>
      </c>
      <c r="R113" s="24">
        <f ca="1">OFFSET(COM!U$247,$E113,0)</f>
        <v>100.58595082682979</v>
      </c>
      <c r="S113" s="24">
        <f ca="1">OFFSET(COM!V$247,$E113,0)</f>
        <v>99.95229261862535</v>
      </c>
      <c r="T113" s="194">
        <f ca="1">OFFSET(COM!W$247,$E113,0)</f>
        <v>99.324252078208431</v>
      </c>
      <c r="U113" s="24">
        <f ca="1">OFFSET(COM!X$247,$E113,0)</f>
        <v>98.729926679193866</v>
      </c>
      <c r="V113" s="24">
        <f ca="1">OFFSET(COM!Y$247,$E113,0)</f>
        <v>98.130206038785943</v>
      </c>
      <c r="W113" s="24">
        <f ca="1">OFFSET(COM!Z$247,$E113,0)</f>
        <v>97.538530018151164</v>
      </c>
      <c r="X113" s="24">
        <f ca="1">OFFSET(COM!AA$247,$E113,0)</f>
        <v>96.951909697272654</v>
      </c>
      <c r="Y113" s="206">
        <f ca="1">OFFSET(COM!AB$247,$E113,0)</f>
        <v>96.369653528252542</v>
      </c>
      <c r="Z113" s="24">
        <f ca="1">OFFSET(COM!AC$247,$E113,0)</f>
        <v>95.825355193627104</v>
      </c>
      <c r="AA113" s="24">
        <f ca="1">OFFSET(COM!AD$247,$E113,0)</f>
        <v>95.272248558793734</v>
      </c>
      <c r="AB113" s="24">
        <f ca="1">OFFSET(COM!AE$247,$E113,0)</f>
        <v>94.741344752826762</v>
      </c>
      <c r="AC113" s="24">
        <f ca="1">OFFSET(COM!AF$247,$E113,0)</f>
        <v>94.227617780580516</v>
      </c>
      <c r="AD113" s="24">
        <f ca="1">OFFSET(COM!AG$247,$E113,0)</f>
        <v>93.72922071746514</v>
      </c>
      <c r="AE113" s="24">
        <f ca="1">OFFSET(COM!AH$247,$E113,0)</f>
        <v>93.240906343819177</v>
      </c>
      <c r="AF113" s="24">
        <f ca="1">OFFSET(COM!AI$247,$E113,0)</f>
        <v>92.760892290477273</v>
      </c>
      <c r="AG113" s="24">
        <f ca="1">OFFSET(COM!AJ$247,$E113,0)</f>
        <v>92.281206756395534</v>
      </c>
      <c r="AH113" s="24">
        <f ca="1">OFFSET(COM!AK$247,$E113,0)</f>
        <v>91.810240036776122</v>
      </c>
      <c r="AI113" s="24">
        <f ca="1">OFFSET(COM!AL$247,$E113,0)</f>
        <v>91.355366529069158</v>
      </c>
      <c r="AJ113" s="24">
        <f ca="1">OFFSET(COM!AM$247,$E113,0)</f>
        <v>89.22522000008658</v>
      </c>
      <c r="AK113" s="24">
        <f ca="1">OFFSET(COM!AN$247,$E113,0)</f>
        <v>87.414322102561869</v>
      </c>
      <c r="AL113" s="24">
        <f ca="1">OFFSET(COM!AO$247,$E113,0)</f>
        <v>87.414322102561869</v>
      </c>
      <c r="AM113" s="24">
        <f ca="1">OFFSET(COM!AP$247,$E113,0)</f>
        <v>87.414322102561869</v>
      </c>
    </row>
    <row r="114" spans="1:39">
      <c r="A114" s="35" t="s">
        <v>247</v>
      </c>
      <c r="B114">
        <v>30.831061307799999</v>
      </c>
      <c r="E114" s="128">
        <f>MATCH(F114,COM!$D$248:$D$266,0)</f>
        <v>9</v>
      </c>
      <c r="F114" s="4" t="str">
        <f t="shared" si="1"/>
        <v>CEO</v>
      </c>
      <c r="G114" s="24">
        <f ca="1">OFFSET(COM!J$247,$E114,0)</f>
        <v>18.760184357078931</v>
      </c>
      <c r="H114" s="24">
        <f ca="1">OFFSET(COM!K$247,$E114,0)</f>
        <v>18.418479080845469</v>
      </c>
      <c r="I114" s="24">
        <f ca="1">OFFSET(COM!L$247,$E114,0)</f>
        <v>18.120961991998936</v>
      </c>
      <c r="J114" s="24">
        <f ca="1">OFFSET(COM!M$247,$E114,0)</f>
        <v>17.785935979440417</v>
      </c>
      <c r="K114" s="24">
        <f ca="1">OFFSET(COM!N$247,$E114,0)</f>
        <v>17.432555568363497</v>
      </c>
      <c r="L114" s="24">
        <f ca="1">OFFSET(COM!O$247,$E114,0)</f>
        <v>16.999241745794041</v>
      </c>
      <c r="M114" s="24">
        <f ca="1">OFFSET(COM!P$247,$E114,0)</f>
        <v>16.885165257262866</v>
      </c>
      <c r="N114" s="24">
        <f ca="1">OFFSET(COM!Q$247,$E114,0)</f>
        <v>16.774889982939797</v>
      </c>
      <c r="O114" s="194">
        <f ca="1">OFFSET(COM!R$247,$E114,0)</f>
        <v>16.638896048973443</v>
      </c>
      <c r="P114" s="24">
        <f ca="1">OFFSET(COM!S$247,$E114,0)</f>
        <v>16.538466591243903</v>
      </c>
      <c r="Q114" s="24">
        <f ca="1">OFFSET(COM!T$247,$E114,0)</f>
        <v>16.437153542422493</v>
      </c>
      <c r="R114" s="24">
        <f ca="1">OFFSET(COM!U$247,$E114,0)</f>
        <v>16.335291707474802</v>
      </c>
      <c r="S114" s="24">
        <f ca="1">OFFSET(COM!V$247,$E114,0)</f>
        <v>16.23238477475936</v>
      </c>
      <c r="T114" s="194">
        <f ca="1">OFFSET(COM!W$247,$E114,0)</f>
        <v>16.130390158736962</v>
      </c>
      <c r="U114" s="24">
        <f ca="1">OFFSET(COM!X$247,$E114,0)</f>
        <v>16.033870926356499</v>
      </c>
      <c r="V114" s="24">
        <f ca="1">OFFSET(COM!Y$247,$E114,0)</f>
        <v>15.93647549962416</v>
      </c>
      <c r="W114" s="24">
        <f ca="1">OFFSET(COM!Z$247,$E114,0)</f>
        <v>15.840386529803448</v>
      </c>
      <c r="X114" s="24">
        <f ca="1">OFFSET(COM!AA$247,$E114,0)</f>
        <v>15.745118612322797</v>
      </c>
      <c r="Y114" s="206">
        <f ca="1">OFFSET(COM!AB$247,$E114,0)</f>
        <v>15.650559438887184</v>
      </c>
      <c r="Z114" s="24">
        <f ca="1">OFFSET(COM!AC$247,$E114,0)</f>
        <v>15.56216466805774</v>
      </c>
      <c r="AA114" s="24">
        <f ca="1">OFFSET(COM!AD$247,$E114,0)</f>
        <v>15.472339417602061</v>
      </c>
      <c r="AB114" s="24">
        <f ca="1">OFFSET(COM!AE$247,$E114,0)</f>
        <v>15.386119935976746</v>
      </c>
      <c r="AC114" s="24">
        <f ca="1">OFFSET(COM!AF$247,$E114,0)</f>
        <v>15.302689994909844</v>
      </c>
      <c r="AD114" s="24">
        <f ca="1">OFFSET(COM!AG$247,$E114,0)</f>
        <v>15.221749651400494</v>
      </c>
      <c r="AE114" s="24">
        <f ca="1">OFFSET(COM!AH$247,$E114,0)</f>
        <v>15.142446750022225</v>
      </c>
      <c r="AF114" s="24">
        <f ca="1">OFFSET(COM!AI$247,$E114,0)</f>
        <v>15.064491831660645</v>
      </c>
      <c r="AG114" s="24">
        <f ca="1">OFFSET(COM!AJ$247,$E114,0)</f>
        <v>14.986590265262256</v>
      </c>
      <c r="AH114" s="24">
        <f ca="1">OFFSET(COM!AK$247,$E114,0)</f>
        <v>14.910104645886436</v>
      </c>
      <c r="AI114" s="24">
        <f ca="1">OFFSET(COM!AL$247,$E114,0)</f>
        <v>14.836232585451398</v>
      </c>
      <c r="AJ114" s="24">
        <f ca="1">OFFSET(COM!AM$247,$E114,0)</f>
        <v>14.490293966344428</v>
      </c>
      <c r="AK114" s="24">
        <f ca="1">OFFSET(COM!AN$247,$E114,0)</f>
        <v>14.196201748044011</v>
      </c>
      <c r="AL114" s="24">
        <f ca="1">OFFSET(COM!AO$247,$E114,0)</f>
        <v>14.196201748044011</v>
      </c>
      <c r="AM114" s="24">
        <f ca="1">OFFSET(COM!AP$247,$E114,0)</f>
        <v>14.196201748044011</v>
      </c>
    </row>
    <row r="115" spans="1:39">
      <c r="A115" s="35" t="s">
        <v>243</v>
      </c>
      <c r="B115">
        <v>7.3604096683640003</v>
      </c>
      <c r="E115" s="128">
        <f>MATCH(F115,COM!$D$248:$D$266,0)</f>
        <v>5</v>
      </c>
      <c r="F115" s="4" t="str">
        <f t="shared" si="1"/>
        <v>CER</v>
      </c>
      <c r="G115" s="24">
        <f ca="1">OFFSET(COM!J$247,$E115,0)</f>
        <v>29.566390373747055</v>
      </c>
      <c r="H115" s="24">
        <f ca="1">OFFSET(COM!K$247,$E115,0)</f>
        <v>28.772038140812398</v>
      </c>
      <c r="I115" s="24">
        <f ca="1">OFFSET(COM!L$247,$E115,0)</f>
        <v>28.041253004760659</v>
      </c>
      <c r="J115" s="24">
        <f ca="1">OFFSET(COM!M$247,$E115,0)</f>
        <v>27.246399091841703</v>
      </c>
      <c r="K115" s="24">
        <f ca="1">OFFSET(COM!N$247,$E115,0)</f>
        <v>26.417759288821308</v>
      </c>
      <c r="L115" s="24">
        <f ca="1">OFFSET(COM!O$247,$E115,0)</f>
        <v>25.463499211305457</v>
      </c>
      <c r="M115" s="24">
        <f ca="1">OFFSET(COM!P$247,$E115,0)</f>
        <v>25.292621791054586</v>
      </c>
      <c r="N115" s="24">
        <f ca="1">OFFSET(COM!Q$247,$E115,0)</f>
        <v>25.12743828447573</v>
      </c>
      <c r="O115" s="194">
        <f ca="1">OFFSET(COM!R$247,$E115,0)</f>
        <v>24.923730290785286</v>
      </c>
      <c r="P115" s="24">
        <f ca="1">OFFSET(COM!S$247,$E115,0)</f>
        <v>24.773295026911196</v>
      </c>
      <c r="Q115" s="24">
        <f ca="1">OFFSET(COM!T$247,$E115,0)</f>
        <v>24.621536214527861</v>
      </c>
      <c r="R115" s="24">
        <f ca="1">OFFSET(COM!U$247,$E115,0)</f>
        <v>24.46895536459116</v>
      </c>
      <c r="S115" s="24">
        <f ca="1">OFFSET(COM!V$247,$E115,0)</f>
        <v>24.314809042112639</v>
      </c>
      <c r="T115" s="194">
        <f ca="1">OFFSET(COM!W$247,$E115,0)</f>
        <v>24.162029296787445</v>
      </c>
      <c r="U115" s="24">
        <f ca="1">OFFSET(COM!X$247,$E115,0)</f>
        <v>24.017451236521683</v>
      </c>
      <c r="V115" s="24">
        <f ca="1">OFFSET(COM!Y$247,$E115,0)</f>
        <v>23.871560707469278</v>
      </c>
      <c r="W115" s="24">
        <f ca="1">OFFSET(COM!Z$247,$E115,0)</f>
        <v>23.727627145970857</v>
      </c>
      <c r="X115" s="24">
        <f ca="1">OFFSET(COM!AA$247,$E115,0)</f>
        <v>23.5849234549529</v>
      </c>
      <c r="Y115" s="206">
        <f ca="1">OFFSET(COM!AB$247,$E115,0)</f>
        <v>23.443281405607074</v>
      </c>
      <c r="Z115" s="24">
        <f ca="1">OFFSET(COM!AC$247,$E115,0)</f>
        <v>23.310873136405537</v>
      </c>
      <c r="AA115" s="24">
        <f ca="1">OFFSET(COM!AD$247,$E115,0)</f>
        <v>23.17632212358172</v>
      </c>
      <c r="AB115" s="24">
        <f ca="1">OFFSET(COM!AE$247,$E115,0)</f>
        <v>23.04717226294699</v>
      </c>
      <c r="AC115" s="24">
        <f ca="1">OFFSET(COM!AF$247,$E115,0)</f>
        <v>22.922200910087561</v>
      </c>
      <c r="AD115" s="24">
        <f ca="1">OFFSET(COM!AG$247,$E115,0)</f>
        <v>22.800958774471539</v>
      </c>
      <c r="AE115" s="24">
        <f ca="1">OFFSET(COM!AH$247,$E115,0)</f>
        <v>22.682169395692373</v>
      </c>
      <c r="AF115" s="24">
        <f ca="1">OFFSET(COM!AI$247,$E115,0)</f>
        <v>22.565399187238299</v>
      </c>
      <c r="AG115" s="24">
        <f ca="1">OFFSET(COM!AJ$247,$E115,0)</f>
        <v>22.448708895741291</v>
      </c>
      <c r="AH115" s="24">
        <f ca="1">OFFSET(COM!AK$247,$E115,0)</f>
        <v>22.334139579193149</v>
      </c>
      <c r="AI115" s="24">
        <f ca="1">OFFSET(COM!AL$247,$E115,0)</f>
        <v>22.223485164087222</v>
      </c>
      <c r="AJ115" s="24">
        <f ca="1">OFFSET(COM!AM$247,$E115,0)</f>
        <v>21.70529688919137</v>
      </c>
      <c r="AK115" s="24">
        <f ca="1">OFFSET(COM!AN$247,$E115,0)</f>
        <v>21.264770359789164</v>
      </c>
      <c r="AL115" s="24">
        <f ca="1">OFFSET(COM!AO$247,$E115,0)</f>
        <v>21.264770359789164</v>
      </c>
      <c r="AM115" s="24">
        <f ca="1">OFFSET(COM!AP$247,$E115,0)</f>
        <v>21.264770359789164</v>
      </c>
    </row>
    <row r="116" spans="1:39">
      <c r="A116" s="35" t="s">
        <v>246</v>
      </c>
      <c r="B116">
        <v>3.1678360284579998</v>
      </c>
      <c r="E116" s="128">
        <f>MATCH(F116,COM!$D$248:$D$266,0)</f>
        <v>8</v>
      </c>
      <c r="F116" s="4" t="str">
        <f t="shared" si="1"/>
        <v>CET</v>
      </c>
      <c r="G116" s="24">
        <f ca="1">OFFSET(COM!J$247,$E116,0)</f>
        <v>3.5593512487513528</v>
      </c>
      <c r="H116" s="24">
        <f ca="1">OFFSET(COM!K$247,$E116,0)</f>
        <v>3.4637231190911666</v>
      </c>
      <c r="I116" s="24">
        <f ca="1">OFFSET(COM!L$247,$E116,0)</f>
        <v>3.3757475172779561</v>
      </c>
      <c r="J116" s="24">
        <f ca="1">OFFSET(COM!M$247,$E116,0)</f>
        <v>3.2800589928500612</v>
      </c>
      <c r="K116" s="24">
        <f ca="1">OFFSET(COM!N$247,$E116,0)</f>
        <v>3.1803031525069465</v>
      </c>
      <c r="L116" s="24">
        <f ca="1">OFFSET(COM!O$247,$E116,0)</f>
        <v>3.0654245097100388</v>
      </c>
      <c r="M116" s="24">
        <f ca="1">OFFSET(COM!P$247,$E116,0)</f>
        <v>3.0851860600873766</v>
      </c>
      <c r="N116" s="24">
        <f ca="1">OFFSET(COM!Q$247,$E116,0)</f>
        <v>3.1083749207455065</v>
      </c>
      <c r="O116" s="194">
        <f ca="1">OFFSET(COM!R$247,$E116,0)</f>
        <v>3.1083749207455065</v>
      </c>
      <c r="P116" s="24">
        <f ca="1">OFFSET(COM!S$247,$E116,0)</f>
        <v>3.14044112074478</v>
      </c>
      <c r="Q116" s="24">
        <f ca="1">OFFSET(COM!T$247,$E116,0)</f>
        <v>3.1717106435068905</v>
      </c>
      <c r="R116" s="24">
        <f ca="1">OFFSET(COM!U$247,$E116,0)</f>
        <v>3.2024853611279087</v>
      </c>
      <c r="S116" s="24">
        <f ca="1">OFFSET(COM!V$247,$E116,0)</f>
        <v>3.2323177813334891</v>
      </c>
      <c r="T116" s="194">
        <f ca="1">OFFSET(COM!W$247,$E116,0)</f>
        <v>3.2629727788025966</v>
      </c>
      <c r="U116" s="24">
        <f ca="1">OFFSET(COM!X$247,$E116,0)</f>
        <v>3.2985645774146795</v>
      </c>
      <c r="V116" s="24">
        <f ca="1">OFFSET(COM!Y$247,$E116,0)</f>
        <v>3.3333663679541425</v>
      </c>
      <c r="W116" s="24">
        <f ca="1">OFFSET(COM!Z$247,$E116,0)</f>
        <v>3.3693461066331967</v>
      </c>
      <c r="X116" s="24">
        <f ca="1">OFFSET(COM!AA$247,$E116,0)</f>
        <v>3.4060661353806592</v>
      </c>
      <c r="Y116" s="206">
        <f ca="1">OFFSET(COM!AB$247,$E116,0)</f>
        <v>3.4434251930328399</v>
      </c>
      <c r="Z116" s="24">
        <f ca="1">OFFSET(COM!AC$247,$E116,0)</f>
        <v>3.4863422958964625</v>
      </c>
      <c r="AA116" s="24">
        <f ca="1">OFFSET(COM!AD$247,$E116,0)</f>
        <v>3.5279696273183716</v>
      </c>
      <c r="AB116" s="24">
        <f ca="1">OFFSET(COM!AE$247,$E116,0)</f>
        <v>3.5728480484989391</v>
      </c>
      <c r="AC116" s="24">
        <f ca="1">OFFSET(COM!AF$247,$E116,0)</f>
        <v>3.6202416189215931</v>
      </c>
      <c r="AD116" s="24">
        <f ca="1">OFFSET(COM!AG$247,$E116,0)</f>
        <v>3.6698798992808292</v>
      </c>
      <c r="AE116" s="24">
        <f ca="1">OFFSET(COM!AH$247,$E116,0)</f>
        <v>3.7209945558564028</v>
      </c>
      <c r="AF116" s="24">
        <f ca="1">OFFSET(COM!AI$247,$E116,0)</f>
        <v>3.7733246019887052</v>
      </c>
      <c r="AG116" s="24">
        <f ca="1">OFFSET(COM!AJ$247,$E116,0)</f>
        <v>3.8257027521535454</v>
      </c>
      <c r="AH116" s="24">
        <f ca="1">OFFSET(COM!AK$247,$E116,0)</f>
        <v>3.8793575706464041</v>
      </c>
      <c r="AI116" s="24">
        <f ca="1">OFFSET(COM!AL$247,$E116,0)</f>
        <v>3.9353688670794096</v>
      </c>
      <c r="AJ116" s="24">
        <f ca="1">OFFSET(COM!AM$247,$E116,0)</f>
        <v>4.2365431739126276</v>
      </c>
      <c r="AK116" s="24">
        <f ca="1">OFFSET(COM!AN$247,$E116,0)</f>
        <v>4.5844640445483158</v>
      </c>
      <c r="AL116" s="24">
        <f ca="1">OFFSET(COM!AO$247,$E116,0)</f>
        <v>4.5844640445483158</v>
      </c>
      <c r="AM116" s="24">
        <f ca="1">OFFSET(COM!AP$247,$E116,0)</f>
        <v>4.5844640445483158</v>
      </c>
    </row>
    <row r="117" spans="1:39">
      <c r="A117" s="35" t="s">
        <v>244</v>
      </c>
      <c r="B117">
        <v>31.577350492680001</v>
      </c>
      <c r="E117" s="128">
        <f>MATCH(F117,COM!$D$248:$D$266,0)</f>
        <v>6</v>
      </c>
      <c r="F117" s="4" t="str">
        <f t="shared" si="1"/>
        <v>CEW</v>
      </c>
      <c r="G117" s="24">
        <f ca="1">OFFSET(COM!J$247,$E117,0)</f>
        <v>9.6831090230750316</v>
      </c>
      <c r="H117" s="24">
        <f ca="1">OFFSET(COM!K$247,$E117,0)</f>
        <v>10.373780123530006</v>
      </c>
      <c r="I117" s="24">
        <f ca="1">OFFSET(COM!L$247,$E117,0)</f>
        <v>11.107846566457823</v>
      </c>
      <c r="J117" s="24">
        <f ca="1">OFFSET(COM!M$247,$E117,0)</f>
        <v>11.839343352056451</v>
      </c>
      <c r="K117" s="24">
        <f ca="1">OFFSET(COM!N$247,$E117,0)</f>
        <v>12.577835119303142</v>
      </c>
      <c r="L117" s="24">
        <f ca="1">OFFSET(COM!O$247,$E117,0)</f>
        <v>13.273861719969343</v>
      </c>
      <c r="M117" s="24">
        <f ca="1">OFFSET(COM!P$247,$E117,0)</f>
        <v>13.184785068380622</v>
      </c>
      <c r="N117" s="24">
        <f ca="1">OFFSET(COM!Q$247,$E117,0)</f>
        <v>13.098676595756643</v>
      </c>
      <c r="O117" s="194">
        <f ca="1">OFFSET(COM!R$247,$E117,0)</f>
        <v>12.992485701996889</v>
      </c>
      <c r="P117" s="24">
        <f ca="1">OFFSET(COM!S$247,$E117,0)</f>
        <v>12.914065337462496</v>
      </c>
      <c r="Q117" s="24">
        <f ca="1">OFFSET(COM!T$247,$E117,0)</f>
        <v>12.834955020626357</v>
      </c>
      <c r="R117" s="24">
        <f ca="1">OFFSET(COM!U$247,$E117,0)</f>
        <v>12.755416184020746</v>
      </c>
      <c r="S117" s="24">
        <f ca="1">OFFSET(COM!V$247,$E117,0)</f>
        <v>12.675061282589395</v>
      </c>
      <c r="T117" s="194">
        <f ca="1">OFFSET(COM!W$247,$E117,0)</f>
        <v>12.595418763851894</v>
      </c>
      <c r="U117" s="24">
        <f ca="1">OFFSET(COM!X$247,$E117,0)</f>
        <v>12.520051699656058</v>
      </c>
      <c r="V117" s="24">
        <f ca="1">OFFSET(COM!Y$247,$E117,0)</f>
        <v>12.444000458904551</v>
      </c>
      <c r="W117" s="24">
        <f ca="1">OFFSET(COM!Z$247,$E117,0)</f>
        <v>12.368969365324741</v>
      </c>
      <c r="X117" s="24">
        <f ca="1">OFFSET(COM!AA$247,$E117,0)</f>
        <v>12.294579390648343</v>
      </c>
      <c r="Y117" s="206">
        <f ca="1">OFFSET(COM!AB$247,$E117,0)</f>
        <v>12.220742838918058</v>
      </c>
      <c r="Z117" s="24">
        <f ca="1">OFFSET(COM!AC$247,$E117,0)</f>
        <v>12.151719762341791</v>
      </c>
      <c r="AA117" s="24">
        <f ca="1">OFFSET(COM!AD$247,$E117,0)</f>
        <v>12.081579695429379</v>
      </c>
      <c r="AB117" s="24">
        <f ca="1">OFFSET(COM!AE$247,$E117,0)</f>
        <v>12.014255193914769</v>
      </c>
      <c r="AC117" s="24">
        <f ca="1">OFFSET(COM!AF$247,$E117,0)</f>
        <v>11.949108905769227</v>
      </c>
      <c r="AD117" s="24">
        <f ca="1">OFFSET(COM!AG$247,$E117,0)</f>
        <v>11.885906620433426</v>
      </c>
      <c r="AE117" s="24">
        <f ca="1">OFFSET(COM!AH$247,$E117,0)</f>
        <v>11.823982932151978</v>
      </c>
      <c r="AF117" s="24">
        <f ca="1">OFFSET(COM!AI$247,$E117,0)</f>
        <v>11.76311181671066</v>
      </c>
      <c r="AG117" s="24">
        <f ca="1">OFFSET(COM!AJ$247,$E117,0)</f>
        <v>11.702282361161735</v>
      </c>
      <c r="AH117" s="24">
        <f ca="1">OFFSET(COM!AK$247,$E117,0)</f>
        <v>11.642558548162135</v>
      </c>
      <c r="AI117" s="24">
        <f ca="1">OFFSET(COM!AL$247,$E117,0)</f>
        <v>11.5848755332461</v>
      </c>
      <c r="AJ117" s="24">
        <f ca="1">OFFSET(COM!AM$247,$E117,0)</f>
        <v>11.314749285129224</v>
      </c>
      <c r="AK117" s="24">
        <f ca="1">OFFSET(COM!AN$247,$E117,0)</f>
        <v>11.085107310680298</v>
      </c>
      <c r="AL117" s="24">
        <f ca="1">OFFSET(COM!AO$247,$E117,0)</f>
        <v>11.085107310680298</v>
      </c>
      <c r="AM117" s="24">
        <f ca="1">OFFSET(COM!AP$247,$E117,0)</f>
        <v>11.085107310680298</v>
      </c>
    </row>
    <row r="118" spans="1:39">
      <c r="A118" s="35" t="s">
        <v>248</v>
      </c>
      <c r="B118" t="s">
        <v>386</v>
      </c>
      <c r="E118" s="128">
        <f>MATCH(F118,COM!$D$248:$D$266,0)</f>
        <v>11</v>
      </c>
      <c r="F118" s="4" t="str">
        <f t="shared" si="1"/>
        <v>CNC</v>
      </c>
      <c r="G118" s="24">
        <f ca="1">OFFSET(COM!J$247,$E118,0)</f>
        <v>0</v>
      </c>
      <c r="H118" s="24">
        <f ca="1">OFFSET(COM!K$247,$E118,0)</f>
        <v>0</v>
      </c>
      <c r="I118" s="24">
        <f ca="1">OFFSET(COM!L$247,$E118,0)</f>
        <v>0</v>
      </c>
      <c r="J118" s="24">
        <f ca="1">OFFSET(COM!M$247,$E118,0)</f>
        <v>0</v>
      </c>
      <c r="K118" s="24">
        <f ca="1">OFFSET(COM!N$247,$E118,0)</f>
        <v>0</v>
      </c>
      <c r="L118" s="24">
        <f ca="1">OFFSET(COM!O$247,$E118,0)</f>
        <v>0</v>
      </c>
      <c r="M118" s="24">
        <f ca="1">OFFSET(COM!P$247,$E118,0)</f>
        <v>1.5826011087333609</v>
      </c>
      <c r="N118" s="24">
        <f ca="1">OFFSET(COM!Q$247,$E118,0)</f>
        <v>3.2727888378763019</v>
      </c>
      <c r="O118" s="194">
        <f ca="1">OFFSET(COM!R$247,$E118,0)</f>
        <v>4.2350555604682834</v>
      </c>
      <c r="P118" s="24">
        <f ca="1">OFFSET(COM!S$247,$E118,0)</f>
        <v>6.2039116504232403</v>
      </c>
      <c r="Q118" s="24">
        <f ca="1">OFFSET(COM!T$247,$E118,0)</f>
        <v>8.1477592630354909</v>
      </c>
      <c r="R118" s="24">
        <f ca="1">OFFSET(COM!U$247,$E118,0)</f>
        <v>10.076074458524694</v>
      </c>
      <c r="S118" s="24">
        <f ca="1">OFFSET(COM!V$247,$E118,0)</f>
        <v>11.974810016910205</v>
      </c>
      <c r="T118" s="194">
        <f ca="1">OFFSET(COM!W$247,$E118,0)</f>
        <v>13.899367079787028</v>
      </c>
      <c r="U118" s="24">
        <f ca="1">OFFSET(COM!X$247,$E118,0)</f>
        <v>15.97889515698475</v>
      </c>
      <c r="V118" s="24">
        <f ca="1">OFFSET(COM!Y$247,$E118,0)</f>
        <v>18.03362410843485</v>
      </c>
      <c r="W118" s="24">
        <f ca="1">OFFSET(COM!Z$247,$E118,0)</f>
        <v>20.125330003602787</v>
      </c>
      <c r="X118" s="24">
        <f ca="1">OFFSET(COM!AA$247,$E118,0)</f>
        <v>22.240274327759533</v>
      </c>
      <c r="Y118" s="206">
        <f ca="1">OFFSET(COM!AB$247,$E118,0)</f>
        <v>24.375278393979318</v>
      </c>
      <c r="Z118" s="24">
        <f ca="1">OFFSET(COM!AC$247,$E118,0)</f>
        <v>26.661660167793737</v>
      </c>
      <c r="AA118" s="24">
        <f ca="1">OFFSET(COM!AD$247,$E118,0)</f>
        <v>28.907959626978101</v>
      </c>
      <c r="AB118" s="24">
        <f ca="1">OFFSET(COM!AE$247,$E118,0)</f>
        <v>31.255293423241625</v>
      </c>
      <c r="AC118" s="24">
        <f ca="1">OFFSET(COM!AF$247,$E118,0)</f>
        <v>33.680790683203</v>
      </c>
      <c r="AD118" s="24">
        <f ca="1">OFFSET(COM!AG$247,$E118,0)</f>
        <v>36.176046946210533</v>
      </c>
      <c r="AE118" s="24">
        <f ca="1">OFFSET(COM!AH$247,$E118,0)</f>
        <v>38.717184653093838</v>
      </c>
      <c r="AF118" s="24">
        <f ca="1">OFFSET(COM!AI$247,$E118,0)</f>
        <v>41.296093103719301</v>
      </c>
      <c r="AG118" s="24">
        <f ca="1">OFFSET(COM!AJ$247,$E118,0)</f>
        <v>43.876496486628767</v>
      </c>
      <c r="AH118" s="24">
        <f ca="1">OFFSET(COM!AK$247,$E118,0)</f>
        <v>46.496574977814674</v>
      </c>
      <c r="AI118" s="24">
        <f ca="1">OFFSET(COM!AL$247,$E118,0)</f>
        <v>49.189885893879108</v>
      </c>
      <c r="AJ118" s="24">
        <f ca="1">OFFSET(COM!AM$247,$E118,0)</f>
        <v>63.030263851651917</v>
      </c>
      <c r="AK118" s="24">
        <f ca="1">OFFSET(COM!AN$247,$E118,0)</f>
        <v>78.294333022653632</v>
      </c>
      <c r="AL118" s="24">
        <f ca="1">OFFSET(COM!AO$247,$E118,0)</f>
        <v>78.294333022653632</v>
      </c>
      <c r="AM118" s="24">
        <f ca="1">OFFSET(COM!AP$247,$E118,0)</f>
        <v>78.294333022653632</v>
      </c>
    </row>
    <row r="119" spans="1:39">
      <c r="A119" s="35" t="s">
        <v>254</v>
      </c>
      <c r="B119" t="s">
        <v>386</v>
      </c>
      <c r="E119" s="128">
        <f>MATCH(F119,COM!$D$248:$D$266,0)</f>
        <v>17</v>
      </c>
      <c r="F119" s="4" t="str">
        <f t="shared" si="1"/>
        <v>CNG</v>
      </c>
      <c r="G119" s="24">
        <f ca="1">OFFSET(COM!J$247,$E119,0)</f>
        <v>0</v>
      </c>
      <c r="H119" s="24">
        <f ca="1">OFFSET(COM!K$247,$E119,0)</f>
        <v>0</v>
      </c>
      <c r="I119" s="24">
        <f ca="1">OFFSET(COM!L$247,$E119,0)</f>
        <v>0</v>
      </c>
      <c r="J119" s="24">
        <f ca="1">OFFSET(COM!M$247,$E119,0)</f>
        <v>0</v>
      </c>
      <c r="K119" s="24">
        <f ca="1">OFFSET(COM!N$247,$E119,0)</f>
        <v>0</v>
      </c>
      <c r="L119" s="24">
        <f ca="1">OFFSET(COM!O$247,$E119,0)</f>
        <v>0</v>
      </c>
      <c r="M119" s="24">
        <f ca="1">OFFSET(COM!P$247,$E119,0)</f>
        <v>0</v>
      </c>
      <c r="N119" s="24">
        <f ca="1">OFFSET(COM!Q$247,$E119,0)</f>
        <v>0</v>
      </c>
      <c r="O119" s="194">
        <f ca="1">OFFSET(COM!R$247,$E119,0)</f>
        <v>0</v>
      </c>
      <c r="P119" s="24">
        <f ca="1">OFFSET(COM!S$247,$E119,0)</f>
        <v>0</v>
      </c>
      <c r="Q119" s="24">
        <f ca="1">OFFSET(COM!T$247,$E119,0)</f>
        <v>0</v>
      </c>
      <c r="R119" s="24">
        <f ca="1">OFFSET(COM!U$247,$E119,0)</f>
        <v>0</v>
      </c>
      <c r="S119" s="24">
        <f ca="1">OFFSET(COM!V$247,$E119,0)</f>
        <v>0</v>
      </c>
      <c r="T119" s="194">
        <f ca="1">OFFSET(COM!W$247,$E119,0)</f>
        <v>0</v>
      </c>
      <c r="U119" s="24">
        <f ca="1">OFFSET(COM!X$247,$E119,0)</f>
        <v>0</v>
      </c>
      <c r="V119" s="24">
        <f ca="1">OFFSET(COM!Y$247,$E119,0)</f>
        <v>0</v>
      </c>
      <c r="W119" s="24">
        <f ca="1">OFFSET(COM!Z$247,$E119,0)</f>
        <v>0</v>
      </c>
      <c r="X119" s="24">
        <f ca="1">OFFSET(COM!AA$247,$E119,0)</f>
        <v>0</v>
      </c>
      <c r="Y119" s="206">
        <f ca="1">OFFSET(COM!AB$247,$E119,0)</f>
        <v>0</v>
      </c>
      <c r="Z119" s="24">
        <f ca="1">OFFSET(COM!AC$247,$E119,0)</f>
        <v>0</v>
      </c>
      <c r="AA119" s="24">
        <f ca="1">OFFSET(COM!AD$247,$E119,0)</f>
        <v>0</v>
      </c>
      <c r="AB119" s="24">
        <f ca="1">OFFSET(COM!AE$247,$E119,0)</f>
        <v>0</v>
      </c>
      <c r="AC119" s="24">
        <f ca="1">OFFSET(COM!AF$247,$E119,0)</f>
        <v>0</v>
      </c>
      <c r="AD119" s="24">
        <f ca="1">OFFSET(COM!AG$247,$E119,0)</f>
        <v>0</v>
      </c>
      <c r="AE119" s="24">
        <f ca="1">OFFSET(COM!AH$247,$E119,0)</f>
        <v>0</v>
      </c>
      <c r="AF119" s="24">
        <f ca="1">OFFSET(COM!AI$247,$E119,0)</f>
        <v>0</v>
      </c>
      <c r="AG119" s="24">
        <f ca="1">OFFSET(COM!AJ$247,$E119,0)</f>
        <v>0</v>
      </c>
      <c r="AH119" s="24">
        <f ca="1">OFFSET(COM!AK$247,$E119,0)</f>
        <v>0</v>
      </c>
      <c r="AI119" s="24">
        <f ca="1">OFFSET(COM!AL$247,$E119,0)</f>
        <v>0</v>
      </c>
      <c r="AJ119" s="24">
        <f ca="1">OFFSET(COM!AM$247,$E119,0)</f>
        <v>0</v>
      </c>
      <c r="AK119" s="24">
        <f ca="1">OFFSET(COM!AN$247,$E119,0)</f>
        <v>0</v>
      </c>
      <c r="AL119" s="24">
        <f ca="1">OFFSET(COM!AO$247,$E119,0)</f>
        <v>0</v>
      </c>
      <c r="AM119" s="24">
        <f ca="1">OFFSET(COM!AP$247,$E119,0)</f>
        <v>0</v>
      </c>
    </row>
    <row r="120" spans="1:39">
      <c r="A120" s="35" t="s">
        <v>249</v>
      </c>
      <c r="B120" t="s">
        <v>386</v>
      </c>
      <c r="E120" s="128">
        <f>MATCH(F120,COM!$D$248:$D$266,0)</f>
        <v>12</v>
      </c>
      <c r="F120" s="4" t="str">
        <f t="shared" si="1"/>
        <v>CNH</v>
      </c>
      <c r="G120" s="24">
        <f ca="1">OFFSET(COM!J$247,$E120,0)</f>
        <v>0</v>
      </c>
      <c r="H120" s="24">
        <f ca="1">OFFSET(COM!K$247,$E120,0)</f>
        <v>0</v>
      </c>
      <c r="I120" s="24">
        <f ca="1">OFFSET(COM!L$247,$E120,0)</f>
        <v>0</v>
      </c>
      <c r="J120" s="24">
        <f ca="1">OFFSET(COM!M$247,$E120,0)</f>
        <v>0</v>
      </c>
      <c r="K120" s="24">
        <f ca="1">OFFSET(COM!N$247,$E120,0)</f>
        <v>0</v>
      </c>
      <c r="L120" s="24">
        <f ca="1">OFFSET(COM!O$247,$E120,0)</f>
        <v>0</v>
      </c>
      <c r="M120" s="24">
        <f ca="1">OFFSET(COM!P$247,$E120,0)</f>
        <v>0.15092687254753431</v>
      </c>
      <c r="N120" s="24">
        <f ca="1">OFFSET(COM!Q$247,$E120,0)</f>
        <v>0.31211388712123755</v>
      </c>
      <c r="O120" s="194">
        <f ca="1">OFFSET(COM!R$247,$E120,0)</f>
        <v>0.40388174081218448</v>
      </c>
      <c r="P120" s="24">
        <f ca="1">OFFSET(COM!S$247,$E120,0)</f>
        <v>0.59164433652456594</v>
      </c>
      <c r="Q120" s="24">
        <f ca="1">OFFSET(COM!T$247,$E120,0)</f>
        <v>0.77702196532918899</v>
      </c>
      <c r="R120" s="24">
        <f ca="1">OFFSET(COM!U$247,$E120,0)</f>
        <v>0.96091832438962399</v>
      </c>
      <c r="S120" s="24">
        <f ca="1">OFFSET(COM!V$247,$E120,0)</f>
        <v>1.1419937817746368</v>
      </c>
      <c r="T120" s="194">
        <f ca="1">OFFSET(COM!W$247,$E120,0)</f>
        <v>1.3255317414894152</v>
      </c>
      <c r="U120" s="24">
        <f ca="1">OFFSET(COM!X$247,$E120,0)</f>
        <v>1.5238487193648038</v>
      </c>
      <c r="V120" s="24">
        <f ca="1">OFFSET(COM!Y$247,$E120,0)</f>
        <v>1.719800695427451</v>
      </c>
      <c r="W120" s="24">
        <f ca="1">OFFSET(COM!Z$247,$E120,0)</f>
        <v>1.9192790272097433</v>
      </c>
      <c r="X120" s="24">
        <f ca="1">OFFSET(COM!AA$247,$E120,0)</f>
        <v>2.1209735228698725</v>
      </c>
      <c r="Y120" s="206">
        <f ca="1">OFFSET(COM!AB$247,$E120,0)</f>
        <v>2.3245810426754905</v>
      </c>
      <c r="Z120" s="24">
        <f ca="1">OFFSET(COM!AC$247,$E120,0)</f>
        <v>2.5426249001372594</v>
      </c>
      <c r="AA120" s="24">
        <f ca="1">OFFSET(COM!AD$247,$E120,0)</f>
        <v>2.7568462540267777</v>
      </c>
      <c r="AB120" s="24">
        <f ca="1">OFFSET(COM!AE$247,$E120,0)</f>
        <v>2.9807028826744921</v>
      </c>
      <c r="AC120" s="24">
        <f ca="1">OFFSET(COM!AF$247,$E120,0)</f>
        <v>3.2120136746349321</v>
      </c>
      <c r="AD120" s="24">
        <f ca="1">OFFSET(COM!AG$247,$E120,0)</f>
        <v>3.4499771272713255</v>
      </c>
      <c r="AE120" s="24">
        <f ca="1">OFFSET(COM!AH$247,$E120,0)</f>
        <v>3.6923161252007954</v>
      </c>
      <c r="AF120" s="24">
        <f ca="1">OFFSET(COM!AI$247,$E120,0)</f>
        <v>3.9382571806514806</v>
      </c>
      <c r="AG120" s="24">
        <f ca="1">OFFSET(COM!AJ$247,$E120,0)</f>
        <v>4.1843408023199267</v>
      </c>
      <c r="AH120" s="24">
        <f ca="1">OFFSET(COM!AK$247,$E120,0)</f>
        <v>4.4342080937817929</v>
      </c>
      <c r="AI120" s="24">
        <f ca="1">OFFSET(COM!AL$247,$E120,0)</f>
        <v>4.6910592934407376</v>
      </c>
      <c r="AJ120" s="24">
        <f ca="1">OFFSET(COM!AM$247,$E120,0)</f>
        <v>6.0109654583709045</v>
      </c>
      <c r="AK120" s="24">
        <f ca="1">OFFSET(COM!AN$247,$E120,0)</f>
        <v>7.4666438410129734</v>
      </c>
      <c r="AL120" s="24">
        <f ca="1">OFFSET(COM!AO$247,$E120,0)</f>
        <v>7.4666438410129734</v>
      </c>
      <c r="AM120" s="24">
        <f ca="1">OFFSET(COM!AP$247,$E120,0)</f>
        <v>7.4666438410129734</v>
      </c>
    </row>
    <row r="121" spans="1:39">
      <c r="A121" s="35" t="s">
        <v>250</v>
      </c>
      <c r="B121" t="s">
        <v>386</v>
      </c>
      <c r="E121" s="128">
        <f>MATCH(F121,COM!$D$248:$D$266,0)</f>
        <v>13</v>
      </c>
      <c r="F121" s="4" t="str">
        <f t="shared" si="1"/>
        <v>CNK</v>
      </c>
      <c r="G121" s="24">
        <f ca="1">OFFSET(COM!J$247,$E121,0)</f>
        <v>0</v>
      </c>
      <c r="H121" s="24">
        <f ca="1">OFFSET(COM!K$247,$E121,0)</f>
        <v>0</v>
      </c>
      <c r="I121" s="24">
        <f ca="1">OFFSET(COM!L$247,$E121,0)</f>
        <v>0</v>
      </c>
      <c r="J121" s="24">
        <f ca="1">OFFSET(COM!M$247,$E121,0)</f>
        <v>0</v>
      </c>
      <c r="K121" s="24">
        <f ca="1">OFFSET(COM!N$247,$E121,0)</f>
        <v>0</v>
      </c>
      <c r="L121" s="24">
        <f ca="1">OFFSET(COM!O$247,$E121,0)</f>
        <v>0</v>
      </c>
      <c r="M121" s="24">
        <f ca="1">OFFSET(COM!P$247,$E121,0)</f>
        <v>0.1128855701047503</v>
      </c>
      <c r="N121" s="24">
        <f ca="1">OFFSET(COM!Q$247,$E121,0)</f>
        <v>0.23344520091472726</v>
      </c>
      <c r="O121" s="194">
        <f ca="1">OFFSET(COM!R$247,$E121,0)</f>
        <v>0.30208285507355981</v>
      </c>
      <c r="P121" s="24">
        <f ca="1">OFFSET(COM!S$247,$E121,0)</f>
        <v>0.44251965935878973</v>
      </c>
      <c r="Q121" s="24">
        <f ca="1">OFFSET(COM!T$247,$E121,0)</f>
        <v>0.58117263055638668</v>
      </c>
      <c r="R121" s="24">
        <f ca="1">OFFSET(COM!U$247,$E121,0)</f>
        <v>0.71871768785681511</v>
      </c>
      <c r="S121" s="24">
        <f ca="1">OFFSET(COM!V$247,$E121,0)</f>
        <v>0.85415285519222628</v>
      </c>
      <c r="T121" s="194">
        <f ca="1">OFFSET(COM!W$247,$E121,0)</f>
        <v>0.99142984813952317</v>
      </c>
      <c r="U121" s="24">
        <f ca="1">OFFSET(COM!X$247,$E121,0)</f>
        <v>1.1397607896811868</v>
      </c>
      <c r="V121" s="24">
        <f ca="1">OFFSET(COM!Y$247,$E121,0)</f>
        <v>1.2863228310036661</v>
      </c>
      <c r="W121" s="24">
        <f ca="1">OFFSET(COM!Z$247,$E121,0)</f>
        <v>1.4355224057824816</v>
      </c>
      <c r="X121" s="24">
        <f ca="1">OFFSET(COM!AA$247,$E121,0)</f>
        <v>1.5863795576287365</v>
      </c>
      <c r="Y121" s="206">
        <f ca="1">OFFSET(COM!AB$247,$E121,0)</f>
        <v>1.7386675535496259</v>
      </c>
      <c r="Z121" s="24">
        <f ca="1">OFFSET(COM!AC$247,$E121,0)</f>
        <v>1.9017531905998371</v>
      </c>
      <c r="AA121" s="24">
        <f ca="1">OFFSET(COM!AD$247,$E121,0)</f>
        <v>2.0619797907688264</v>
      </c>
      <c r="AB121" s="24">
        <f ca="1">OFFSET(COM!AE$247,$E121,0)</f>
        <v>2.2294130829326573</v>
      </c>
      <c r="AC121" s="24">
        <f ca="1">OFFSET(COM!AF$247,$E121,0)</f>
        <v>2.4024217074478953</v>
      </c>
      <c r="AD121" s="24">
        <f ca="1">OFFSET(COM!AG$247,$E121,0)</f>
        <v>2.5804061813956585</v>
      </c>
      <c r="AE121" s="24">
        <f ca="1">OFFSET(COM!AH$247,$E121,0)</f>
        <v>2.7616633391047092</v>
      </c>
      <c r="AF121" s="24">
        <f ca="1">OFFSET(COM!AI$247,$E121,0)</f>
        <v>2.94561465134018</v>
      </c>
      <c r="AG121" s="24">
        <f ca="1">OFFSET(COM!AJ$247,$E121,0)</f>
        <v>3.1296725958042124</v>
      </c>
      <c r="AH121" s="24">
        <f ca="1">OFFSET(COM!AK$247,$E121,0)</f>
        <v>3.3165605314719908</v>
      </c>
      <c r="AI121" s="24">
        <f ca="1">OFFSET(COM!AL$247,$E121,0)</f>
        <v>3.5086720727514087</v>
      </c>
      <c r="AJ121" s="24">
        <f ca="1">OFFSET(COM!AM$247,$E121,0)</f>
        <v>4.4958942777698656</v>
      </c>
      <c r="AK121" s="24">
        <f ca="1">OFFSET(COM!AN$247,$E121,0)</f>
        <v>5.5846671473061154</v>
      </c>
      <c r="AL121" s="24">
        <f ca="1">OFFSET(COM!AO$247,$E121,0)</f>
        <v>5.5846671473061154</v>
      </c>
      <c r="AM121" s="24">
        <f ca="1">OFFSET(COM!AP$247,$E121,0)</f>
        <v>5.5846671473061154</v>
      </c>
    </row>
    <row r="122" spans="1:39">
      <c r="A122" s="35" t="s">
        <v>251</v>
      </c>
      <c r="B122" t="s">
        <v>386</v>
      </c>
      <c r="E122" s="128">
        <f>MATCH(F122,COM!$D$248:$D$266,0)</f>
        <v>14</v>
      </c>
      <c r="F122" s="4" t="str">
        <f t="shared" si="1"/>
        <v>CNL</v>
      </c>
      <c r="G122" s="24">
        <f ca="1">OFFSET(COM!J$247,$E122,0)</f>
        <v>0</v>
      </c>
      <c r="H122" s="24">
        <f ca="1">OFFSET(COM!K$247,$E122,0)</f>
        <v>0</v>
      </c>
      <c r="I122" s="24">
        <f ca="1">OFFSET(COM!L$247,$E122,0)</f>
        <v>0</v>
      </c>
      <c r="J122" s="24">
        <f ca="1">OFFSET(COM!M$247,$E122,0)</f>
        <v>0</v>
      </c>
      <c r="K122" s="24">
        <f ca="1">OFFSET(COM!N$247,$E122,0)</f>
        <v>0</v>
      </c>
      <c r="L122" s="24">
        <f ca="1">OFFSET(COM!O$247,$E122,0)</f>
        <v>0</v>
      </c>
      <c r="M122" s="24">
        <f ca="1">OFFSET(COM!P$247,$E122,0)</f>
        <v>1.3772283906971867</v>
      </c>
      <c r="N122" s="24">
        <f ca="1">OFFSET(COM!Q$247,$E122,0)</f>
        <v>2.848081983139509</v>
      </c>
      <c r="O122" s="194">
        <f ca="1">OFFSET(COM!R$247,$E122,0)</f>
        <v>3.6854762213107977</v>
      </c>
      <c r="P122" s="24">
        <f ca="1">OFFSET(COM!S$247,$E122,0)</f>
        <v>5.3988356328009299</v>
      </c>
      <c r="Q122" s="24">
        <f ca="1">OFFSET(COM!T$247,$E122,0)</f>
        <v>7.0904318944901314</v>
      </c>
      <c r="R122" s="24">
        <f ca="1">OFFSET(COM!U$247,$E122,0)</f>
        <v>8.7685113668127848</v>
      </c>
      <c r="S122" s="24">
        <f ca="1">OFFSET(COM!V$247,$E122,0)</f>
        <v>10.420849724851546</v>
      </c>
      <c r="T122" s="194">
        <f ca="1">OFFSET(COM!W$247,$E122,0)</f>
        <v>12.09565875404029</v>
      </c>
      <c r="U122" s="24">
        <f ca="1">OFFSET(COM!X$247,$E122,0)</f>
        <v>13.905328348838461</v>
      </c>
      <c r="V122" s="24">
        <f ca="1">OFFSET(COM!Y$247,$E122,0)</f>
        <v>15.693416978063171</v>
      </c>
      <c r="W122" s="24">
        <f ca="1">OFFSET(COM!Z$247,$E122,0)</f>
        <v>17.51368408638055</v>
      </c>
      <c r="X122" s="24">
        <f ca="1">OFFSET(COM!AA$247,$E122,0)</f>
        <v>19.354173993722885</v>
      </c>
      <c r="Y122" s="206">
        <f ca="1">OFFSET(COM!AB$247,$E122,0)</f>
        <v>21.212120508498916</v>
      </c>
      <c r="Z122" s="24">
        <f ca="1">OFFSET(COM!AC$247,$E122,0)</f>
        <v>23.201800582330041</v>
      </c>
      <c r="AA122" s="24">
        <f ca="1">OFFSET(COM!AD$247,$E122,0)</f>
        <v>25.156599787337846</v>
      </c>
      <c r="AB122" s="24">
        <f ca="1">OFFSET(COM!AE$247,$E122,0)</f>
        <v>27.199322194656595</v>
      </c>
      <c r="AC122" s="24">
        <f ca="1">OFFSET(COM!AF$247,$E122,0)</f>
        <v>29.310064863509258</v>
      </c>
      <c r="AD122" s="24">
        <f ca="1">OFFSET(COM!AG$247,$E122,0)</f>
        <v>31.481513972520297</v>
      </c>
      <c r="AE122" s="24">
        <f ca="1">OFFSET(COM!AH$247,$E122,0)</f>
        <v>33.692890531830216</v>
      </c>
      <c r="AF122" s="24">
        <f ca="1">OFFSET(COM!AI$247,$E122,0)</f>
        <v>35.937136359544141</v>
      </c>
      <c r="AG122" s="24">
        <f ca="1">OFFSET(COM!AJ$247,$E122,0)</f>
        <v>38.182683123528321</v>
      </c>
      <c r="AH122" s="24">
        <f ca="1">OFFSET(COM!AK$247,$E122,0)</f>
        <v>40.462756392783334</v>
      </c>
      <c r="AI122" s="24">
        <f ca="1">OFFSET(COM!AL$247,$E122,0)</f>
        <v>42.806558781211677</v>
      </c>
      <c r="AJ122" s="24">
        <f ca="1">OFFSET(COM!AM$247,$E122,0)</f>
        <v>54.85088337838075</v>
      </c>
      <c r="AK122" s="24">
        <f ca="1">OFFSET(COM!AN$247,$E122,0)</f>
        <v>68.134148064511507</v>
      </c>
      <c r="AL122" s="24">
        <f ca="1">OFFSET(COM!AO$247,$E122,0)</f>
        <v>68.134148064511507</v>
      </c>
      <c r="AM122" s="24">
        <f ca="1">OFFSET(COM!AP$247,$E122,0)</f>
        <v>68.134148064511507</v>
      </c>
    </row>
    <row r="123" spans="1:39">
      <c r="A123" s="35" t="s">
        <v>256</v>
      </c>
      <c r="B123" t="s">
        <v>386</v>
      </c>
      <c r="E123" s="128">
        <f>MATCH(F123,COM!$D$248:$D$266,0)</f>
        <v>19</v>
      </c>
      <c r="F123" s="4" t="str">
        <f t="shared" si="1"/>
        <v>CNO</v>
      </c>
      <c r="G123" s="24">
        <f ca="1">OFFSET(COM!J$247,$E123,0)</f>
        <v>0</v>
      </c>
      <c r="H123" s="24">
        <f ca="1">OFFSET(COM!K$247,$E123,0)</f>
        <v>0</v>
      </c>
      <c r="I123" s="24">
        <f ca="1">OFFSET(COM!L$247,$E123,0)</f>
        <v>0</v>
      </c>
      <c r="J123" s="24">
        <f ca="1">OFFSET(COM!M$247,$E123,0)</f>
        <v>0</v>
      </c>
      <c r="K123" s="24">
        <f ca="1">OFFSET(COM!N$247,$E123,0)</f>
        <v>0</v>
      </c>
      <c r="L123" s="24">
        <f ca="1">OFFSET(COM!O$247,$E123,0)</f>
        <v>0</v>
      </c>
      <c r="M123" s="24">
        <f ca="1">OFFSET(COM!P$247,$E123,0)</f>
        <v>0.22366371570704255</v>
      </c>
      <c r="N123" s="24">
        <f ca="1">OFFSET(COM!Q$247,$E123,0)</f>
        <v>0.46253228824653669</v>
      </c>
      <c r="O123" s="194">
        <f ca="1">OFFSET(COM!R$247,$E123,0)</f>
        <v>0.59852622221288887</v>
      </c>
      <c r="P123" s="24">
        <f ca="1">OFFSET(COM!S$247,$E123,0)</f>
        <v>0.87677806112649204</v>
      </c>
      <c r="Q123" s="24">
        <f ca="1">OFFSET(COM!T$247,$E123,0)</f>
        <v>1.1514955356726129</v>
      </c>
      <c r="R123" s="24">
        <f ca="1">OFFSET(COM!U$247,$E123,0)</f>
        <v>1.4240178657136013</v>
      </c>
      <c r="S123" s="24">
        <f ca="1">OFFSET(COM!V$247,$E123,0)</f>
        <v>1.6923598046836066</v>
      </c>
      <c r="T123" s="194">
        <f ca="1">OFFSET(COM!W$247,$E123,0)</f>
        <v>1.9643510104257644</v>
      </c>
      <c r="U123" s="24">
        <f ca="1">OFFSET(COM!X$247,$E123,0)</f>
        <v>2.2582437507356836</v>
      </c>
      <c r="V123" s="24">
        <f ca="1">OFFSET(COM!Y$247,$E123,0)</f>
        <v>2.5486317136380867</v>
      </c>
      <c r="W123" s="24">
        <f ca="1">OFFSET(COM!Z$247,$E123,0)</f>
        <v>2.8442455041870032</v>
      </c>
      <c r="X123" s="24">
        <f ca="1">OFFSET(COM!AA$247,$E123,0)</f>
        <v>3.1431435040961606</v>
      </c>
      <c r="Y123" s="206">
        <f ca="1">OFFSET(COM!AB$247,$E123,0)</f>
        <v>3.444876480185473</v>
      </c>
      <c r="Z123" s="24">
        <f ca="1">OFFSET(COM!AC$247,$E123,0)</f>
        <v>3.7680031608343176</v>
      </c>
      <c r="AA123" s="24">
        <f ca="1">OFFSET(COM!AD$247,$E123,0)</f>
        <v>4.0854651421632733</v>
      </c>
      <c r="AB123" s="24">
        <f ca="1">OFFSET(COM!AE$247,$E123,0)</f>
        <v>4.4172059680604656</v>
      </c>
      <c r="AC123" s="24">
        <f ca="1">OFFSET(COM!AF$247,$E123,0)</f>
        <v>4.7599933745689826</v>
      </c>
      <c r="AD123" s="24">
        <f ca="1">OFFSET(COM!AG$247,$E123,0)</f>
        <v>5.1126395874053987</v>
      </c>
      <c r="AE123" s="24">
        <f ca="1">OFFSET(COM!AH$247,$E123,0)</f>
        <v>5.4717700710808987</v>
      </c>
      <c r="AF123" s="24">
        <f ca="1">OFFSET(COM!AI$247,$E123,0)</f>
        <v>5.8362385675024857</v>
      </c>
      <c r="AG123" s="24">
        <f ca="1">OFFSET(COM!AJ$247,$E123,0)</f>
        <v>6.2009183376983179</v>
      </c>
      <c r="AH123" s="24">
        <f ca="1">OFFSET(COM!AK$247,$E123,0)</f>
        <v>6.5712052581035252</v>
      </c>
      <c r="AI123" s="24">
        <f ca="1">OFFSET(COM!AL$247,$E123,0)</f>
        <v>6.9518418719142163</v>
      </c>
      <c r="AJ123" s="24">
        <f ca="1">OFFSET(COM!AM$247,$E123,0)</f>
        <v>8.9078561472377569</v>
      </c>
      <c r="AK123" s="24">
        <f ca="1">OFFSET(COM!AN$247,$E123,0)</f>
        <v>11.065075934811379</v>
      </c>
      <c r="AL123" s="24">
        <f ca="1">OFFSET(COM!AO$247,$E123,0)</f>
        <v>11.065075934811379</v>
      </c>
      <c r="AM123" s="24">
        <f ca="1">OFFSET(COM!AP$247,$E123,0)</f>
        <v>11.065075934811379</v>
      </c>
    </row>
    <row r="124" spans="1:39">
      <c r="A124" s="35" t="s">
        <v>252</v>
      </c>
      <c r="B124" t="s">
        <v>386</v>
      </c>
      <c r="E124" s="128">
        <f>MATCH(F124,COM!$D$248:$D$266,0)</f>
        <v>15</v>
      </c>
      <c r="F124" s="4" t="str">
        <f t="shared" si="1"/>
        <v>CNR</v>
      </c>
      <c r="G124" s="24">
        <f ca="1">OFFSET(COM!J$247,$E124,0)</f>
        <v>0</v>
      </c>
      <c r="H124" s="24">
        <f ca="1">OFFSET(COM!K$247,$E124,0)</f>
        <v>0</v>
      </c>
      <c r="I124" s="24">
        <f ca="1">OFFSET(COM!L$247,$E124,0)</f>
        <v>0</v>
      </c>
      <c r="J124" s="24">
        <f ca="1">OFFSET(COM!M$247,$E124,0)</f>
        <v>0</v>
      </c>
      <c r="K124" s="24">
        <f ca="1">OFFSET(COM!N$247,$E124,0)</f>
        <v>0</v>
      </c>
      <c r="L124" s="24">
        <f ca="1">OFFSET(COM!O$247,$E124,0)</f>
        <v>0</v>
      </c>
      <c r="M124" s="24">
        <f ca="1">OFFSET(COM!P$247,$E124,0)</f>
        <v>0.3350302874487357</v>
      </c>
      <c r="N124" s="24">
        <f ca="1">OFFSET(COM!Q$247,$E124,0)</f>
        <v>0.69283622958553637</v>
      </c>
      <c r="O124" s="194">
        <f ca="1">OFFSET(COM!R$247,$E124,0)</f>
        <v>0.89654422327597971</v>
      </c>
      <c r="P124" s="24">
        <f ca="1">OFFSET(COM!S$247,$E124,0)</f>
        <v>1.3133431362318395</v>
      </c>
      <c r="Q124" s="24">
        <f ca="1">OFFSET(COM!T$247,$E124,0)</f>
        <v>1.724847855150714</v>
      </c>
      <c r="R124" s="24">
        <f ca="1">OFFSET(COM!U$247,$E124,0)</f>
        <v>2.1330644238561254</v>
      </c>
      <c r="S124" s="24">
        <f ca="1">OFFSET(COM!V$247,$E124,0)</f>
        <v>2.5350191023942732</v>
      </c>
      <c r="T124" s="194">
        <f ca="1">OFFSET(COM!W$247,$E124,0)</f>
        <v>2.9424400895457175</v>
      </c>
      <c r="U124" s="24">
        <f ca="1">OFFSET(COM!X$247,$E124,0)</f>
        <v>3.3826678169348883</v>
      </c>
      <c r="V124" s="24">
        <f ca="1">OFFSET(COM!Y$247,$E124,0)</f>
        <v>3.8176456691774705</v>
      </c>
      <c r="W124" s="24">
        <f ca="1">OFFSET(COM!Z$247,$E124,0)</f>
        <v>4.2604513916359892</v>
      </c>
      <c r="X124" s="24">
        <f ca="1">OFFSET(COM!AA$247,$E124,0)</f>
        <v>4.7081765960163988</v>
      </c>
      <c r="Y124" s="206">
        <f ca="1">OFFSET(COM!AB$247,$E124,0)</f>
        <v>5.1601483670853066</v>
      </c>
      <c r="Z124" s="24">
        <f ca="1">OFFSET(COM!AC$247,$E124,0)</f>
        <v>5.6441661898149205</v>
      </c>
      <c r="AA124" s="24">
        <f ca="1">OFFSET(COM!AD$247,$E124,0)</f>
        <v>6.1196987478003031</v>
      </c>
      <c r="AB124" s="24">
        <f ca="1">OFFSET(COM!AE$247,$E124,0)</f>
        <v>6.6166198684544648</v>
      </c>
      <c r="AC124" s="24">
        <f ca="1">OFFSET(COM!AF$247,$E124,0)</f>
        <v>7.1300878798988387</v>
      </c>
      <c r="AD124" s="24">
        <f ca="1">OFFSET(COM!AG$247,$E124,0)</f>
        <v>7.6583235916270809</v>
      </c>
      <c r="AE124" s="24">
        <f ca="1">OFFSET(COM!AH$247,$E124,0)</f>
        <v>8.19627222042927</v>
      </c>
      <c r="AF124" s="24">
        <f ca="1">OFFSET(COM!AI$247,$E124,0)</f>
        <v>8.7422167637188526</v>
      </c>
      <c r="AG124" s="24">
        <f ca="1">OFFSET(COM!AJ$247,$E124,0)</f>
        <v>9.2884777781584056</v>
      </c>
      <c r="AH124" s="24">
        <f ca="1">OFFSET(COM!AK$247,$E124,0)</f>
        <v>9.8431378533954437</v>
      </c>
      <c r="AI124" s="24">
        <f ca="1">OFFSET(COM!AL$247,$E124,0)</f>
        <v>10.413300938343664</v>
      </c>
      <c r="AJ124" s="24">
        <f ca="1">OFFSET(COM!AM$247,$E124,0)</f>
        <v>13.343253268089573</v>
      </c>
      <c r="AK124" s="24">
        <f ca="1">OFFSET(COM!AN$247,$E124,0)</f>
        <v>16.574595299747212</v>
      </c>
      <c r="AL124" s="24">
        <f ca="1">OFFSET(COM!AO$247,$E124,0)</f>
        <v>16.574595299747212</v>
      </c>
      <c r="AM124" s="24">
        <f ca="1">OFFSET(COM!AP$247,$E124,0)</f>
        <v>16.574595299747212</v>
      </c>
    </row>
    <row r="125" spans="1:39">
      <c r="A125" s="35" t="s">
        <v>255</v>
      </c>
      <c r="B125" t="s">
        <v>386</v>
      </c>
      <c r="E125" s="128">
        <f>MATCH(F125,COM!$D$248:$D$266,0)</f>
        <v>18</v>
      </c>
      <c r="F125" s="4" t="str">
        <f t="shared" si="1"/>
        <v>CNT</v>
      </c>
      <c r="G125" s="24">
        <f ca="1">OFFSET(COM!J$247,$E125,0)</f>
        <v>0</v>
      </c>
      <c r="H125" s="24">
        <f ca="1">OFFSET(COM!K$247,$E125,0)</f>
        <v>0</v>
      </c>
      <c r="I125" s="24">
        <f ca="1">OFFSET(COM!L$247,$E125,0)</f>
        <v>0</v>
      </c>
      <c r="J125" s="24">
        <f ca="1">OFFSET(COM!M$247,$E125,0)</f>
        <v>0</v>
      </c>
      <c r="K125" s="24">
        <f ca="1">OFFSET(COM!N$247,$E125,0)</f>
        <v>0</v>
      </c>
      <c r="L125" s="24">
        <f ca="1">OFFSET(COM!O$247,$E125,0)</f>
        <v>0</v>
      </c>
      <c r="M125" s="24">
        <f ca="1">OFFSET(COM!P$247,$E125,0)</f>
        <v>0</v>
      </c>
      <c r="N125" s="24">
        <f ca="1">OFFSET(COM!Q$247,$E125,0)</f>
        <v>0</v>
      </c>
      <c r="O125" s="194">
        <f ca="1">OFFSET(COM!R$247,$E125,0)</f>
        <v>0</v>
      </c>
      <c r="P125" s="24">
        <f ca="1">OFFSET(COM!S$247,$E125,0)</f>
        <v>0</v>
      </c>
      <c r="Q125" s="24">
        <f ca="1">OFFSET(COM!T$247,$E125,0)</f>
        <v>0</v>
      </c>
      <c r="R125" s="24">
        <f ca="1">OFFSET(COM!U$247,$E125,0)</f>
        <v>0</v>
      </c>
      <c r="S125" s="24">
        <f ca="1">OFFSET(COM!V$247,$E125,0)</f>
        <v>0</v>
      </c>
      <c r="T125" s="194">
        <f ca="1">OFFSET(COM!W$247,$E125,0)</f>
        <v>0</v>
      </c>
      <c r="U125" s="24">
        <f ca="1">OFFSET(COM!X$247,$E125,0)</f>
        <v>0</v>
      </c>
      <c r="V125" s="24">
        <f ca="1">OFFSET(COM!Y$247,$E125,0)</f>
        <v>0</v>
      </c>
      <c r="W125" s="24">
        <f ca="1">OFFSET(COM!Z$247,$E125,0)</f>
        <v>0</v>
      </c>
      <c r="X125" s="24">
        <f ca="1">OFFSET(COM!AA$247,$E125,0)</f>
        <v>0</v>
      </c>
      <c r="Y125" s="206">
        <f ca="1">OFFSET(COM!AB$247,$E125,0)</f>
        <v>0</v>
      </c>
      <c r="Z125" s="24">
        <f ca="1">OFFSET(COM!AC$247,$E125,0)</f>
        <v>0</v>
      </c>
      <c r="AA125" s="24">
        <f ca="1">OFFSET(COM!AD$247,$E125,0)</f>
        <v>0</v>
      </c>
      <c r="AB125" s="24">
        <f ca="1">OFFSET(COM!AE$247,$E125,0)</f>
        <v>0</v>
      </c>
      <c r="AC125" s="24">
        <f ca="1">OFFSET(COM!AF$247,$E125,0)</f>
        <v>0</v>
      </c>
      <c r="AD125" s="24">
        <f ca="1">OFFSET(COM!AG$247,$E125,0)</f>
        <v>0</v>
      </c>
      <c r="AE125" s="24">
        <f ca="1">OFFSET(COM!AH$247,$E125,0)</f>
        <v>0</v>
      </c>
      <c r="AF125" s="24">
        <f ca="1">OFFSET(COM!AI$247,$E125,0)</f>
        <v>0</v>
      </c>
      <c r="AG125" s="24">
        <f ca="1">OFFSET(COM!AJ$247,$E125,0)</f>
        <v>0</v>
      </c>
      <c r="AH125" s="24">
        <f ca="1">OFFSET(COM!AK$247,$E125,0)</f>
        <v>0</v>
      </c>
      <c r="AI125" s="24">
        <f ca="1">OFFSET(COM!AL$247,$E125,0)</f>
        <v>0</v>
      </c>
      <c r="AJ125" s="24">
        <f ca="1">OFFSET(COM!AM$247,$E125,0)</f>
        <v>0</v>
      </c>
      <c r="AK125" s="24">
        <f ca="1">OFFSET(COM!AN$247,$E125,0)</f>
        <v>0</v>
      </c>
      <c r="AL125" s="24">
        <f ca="1">OFFSET(COM!AO$247,$E125,0)</f>
        <v>0</v>
      </c>
      <c r="AM125" s="24">
        <f ca="1">OFFSET(COM!AP$247,$E125,0)</f>
        <v>0</v>
      </c>
    </row>
    <row r="126" spans="1:39">
      <c r="A126" s="35" t="s">
        <v>253</v>
      </c>
      <c r="B126" t="s">
        <v>386</v>
      </c>
      <c r="E126" s="128">
        <f>MATCH(F126,COM!$D$248:$D$266,0)</f>
        <v>16</v>
      </c>
      <c r="F126" s="4" t="str">
        <f t="shared" si="1"/>
        <v>CNW</v>
      </c>
      <c r="G126" s="24">
        <f ca="1">OFFSET(COM!J$247,$E126,0)</f>
        <v>0</v>
      </c>
      <c r="H126" s="24">
        <f ca="1">OFFSET(COM!K$247,$E126,0)</f>
        <v>0</v>
      </c>
      <c r="I126" s="24">
        <f ca="1">OFFSET(COM!L$247,$E126,0)</f>
        <v>0</v>
      </c>
      <c r="J126" s="24">
        <f ca="1">OFFSET(COM!M$247,$E126,0)</f>
        <v>0</v>
      </c>
      <c r="K126" s="24">
        <f ca="1">OFFSET(COM!N$247,$E126,0)</f>
        <v>0</v>
      </c>
      <c r="L126" s="24">
        <f ca="1">OFFSET(COM!O$247,$E126,0)</f>
        <v>0</v>
      </c>
      <c r="M126" s="24">
        <f ca="1">OFFSET(COM!P$247,$E126,0)</f>
        <v>0.17464786244388691</v>
      </c>
      <c r="N126" s="24">
        <f ca="1">OFFSET(COM!Q$247,$E126,0)</f>
        <v>0.36116844074675197</v>
      </c>
      <c r="O126" s="194">
        <f ca="1">OFFSET(COM!R$247,$E126,0)</f>
        <v>0.46735933450650663</v>
      </c>
      <c r="P126" s="24">
        <f ca="1">OFFSET(COM!S$247,$E126,0)</f>
        <v>0.6846323451677141</v>
      </c>
      <c r="Q126" s="24">
        <f ca="1">OFFSET(COM!T$247,$E126,0)</f>
        <v>0.89914554662192836</v>
      </c>
      <c r="R126" s="24">
        <f ca="1">OFFSET(COM!U$247,$E126,0)</f>
        <v>1.1119446689982515</v>
      </c>
      <c r="S126" s="24">
        <f ca="1">OFFSET(COM!V$247,$E126,0)</f>
        <v>1.321479532071635</v>
      </c>
      <c r="T126" s="194">
        <f ca="1">OFFSET(COM!W$247,$E126,0)</f>
        <v>1.5338639259204025</v>
      </c>
      <c r="U126" s="24">
        <f ca="1">OFFSET(COM!X$247,$E126,0)</f>
        <v>1.7633501379358263</v>
      </c>
      <c r="V126" s="24">
        <f ca="1">OFFSET(COM!Y$247,$E126,0)</f>
        <v>1.9900996437285645</v>
      </c>
      <c r="W126" s="24">
        <f ca="1">OFFSET(COM!Z$247,$E126,0)</f>
        <v>2.2209297382081115</v>
      </c>
      <c r="X126" s="24">
        <f ca="1">OFFSET(COM!AA$247,$E126,0)</f>
        <v>2.4543243083012873</v>
      </c>
      <c r="Y126" s="206">
        <f ca="1">OFFSET(COM!AB$247,$E126,0)</f>
        <v>2.689932570178927</v>
      </c>
      <c r="Z126" s="24">
        <f ca="1">OFFSET(COM!AC$247,$E126,0)</f>
        <v>2.9422461110476941</v>
      </c>
      <c r="AA126" s="24">
        <f ca="1">OFFSET(COM!AD$247,$E126,0)</f>
        <v>3.1901363701853209</v>
      </c>
      <c r="AB126" s="24">
        <f ca="1">OFFSET(COM!AE$247,$E126,0)</f>
        <v>3.4491762682982627</v>
      </c>
      <c r="AC126" s="24">
        <f ca="1">OFFSET(COM!AF$247,$E126,0)</f>
        <v>3.7168418913527006</v>
      </c>
      <c r="AD126" s="24">
        <f ca="1">OFFSET(COM!AG$247,$E126,0)</f>
        <v>3.992205765533714</v>
      </c>
      <c r="AE126" s="24">
        <f ca="1">OFFSET(COM!AH$247,$E126,0)</f>
        <v>4.2726328840499717</v>
      </c>
      <c r="AF126" s="24">
        <f ca="1">OFFSET(COM!AI$247,$E126,0)</f>
        <v>4.5572281910131345</v>
      </c>
      <c r="AG126" s="24">
        <f ca="1">OFFSET(COM!AJ$247,$E126,0)</f>
        <v>4.8419884711501808</v>
      </c>
      <c r="AH126" s="24">
        <f ca="1">OFFSET(COM!AK$247,$E126,0)</f>
        <v>5.1311270957825483</v>
      </c>
      <c r="AI126" s="24">
        <f ca="1">OFFSET(COM!AL$247,$E126,0)</f>
        <v>5.428347280825836</v>
      </c>
      <c r="AJ126" s="24">
        <f ca="1">OFFSET(COM!AM$247,$E126,0)</f>
        <v>6.9557014652767215</v>
      </c>
      <c r="AK126" s="24">
        <f ca="1">OFFSET(COM!AN$247,$E126,0)</f>
        <v>8.6401670189781807</v>
      </c>
      <c r="AL126" s="24">
        <f ca="1">OFFSET(COM!AO$247,$E126,0)</f>
        <v>8.6401670189781807</v>
      </c>
      <c r="AM126" s="24">
        <f ca="1">OFFSET(COM!AP$247,$E126,0)</f>
        <v>8.6401670189781807</v>
      </c>
    </row>
    <row r="127" spans="1:39">
      <c r="A127" s="35" t="s">
        <v>292</v>
      </c>
      <c r="B127">
        <v>9</v>
      </c>
      <c r="E127" s="129">
        <f>MATCH(F127,IND!$D$26:$D$255,0)</f>
        <v>3</v>
      </c>
      <c r="F127" s="4" t="str">
        <f t="shared" si="1"/>
        <v>IISCRS</v>
      </c>
      <c r="G127" s="10">
        <f ca="1">OFFSET(IND!J$25,$E127,0)</f>
        <v>6.94</v>
      </c>
      <c r="H127" s="10">
        <f ca="1">OFFSET(IND!K$25,$E127,0)</f>
        <v>7.1000000000000005</v>
      </c>
      <c r="I127" s="10">
        <f ca="1">OFFSET(IND!L$25,$E127,0)</f>
        <v>6.5</v>
      </c>
      <c r="J127" s="10">
        <f ca="1">OFFSET(IND!M$25,$E127,0)</f>
        <v>6.4000000000000012</v>
      </c>
      <c r="K127" s="10">
        <f ca="1">OFFSET(IND!N$25,$E127,0)</f>
        <v>6.0910000000000002</v>
      </c>
      <c r="L127" s="10">
        <f ca="1">OFFSET(IND!O$25,$E127,0)</f>
        <v>6.23</v>
      </c>
      <c r="M127" s="10">
        <f ca="1">OFFSET(IND!P$25,$E127,0)</f>
        <v>6.3</v>
      </c>
      <c r="N127" s="10">
        <f ca="1">OFFSET(IND!Q$25,$E127,0)</f>
        <v>6.1267974837582679</v>
      </c>
      <c r="O127" s="204">
        <f ca="1">OFFSET(IND!R$25,$E127,0)</f>
        <v>5.0030232389251985</v>
      </c>
      <c r="P127" s="10">
        <f ca="1">OFFSET(IND!S$25,$E127,0)</f>
        <v>5.1621732440786108</v>
      </c>
      <c r="Q127" s="10">
        <f ca="1">OFFSET(IND!T$25,$E127,0)</f>
        <v>5.2641924781513101</v>
      </c>
      <c r="R127" s="10">
        <f ca="1">OFFSET(IND!U$25,$E127,0)</f>
        <v>5.358050173498194</v>
      </c>
      <c r="S127" s="10">
        <f ca="1">OFFSET(IND!V$25,$E127,0)</f>
        <v>5.4437463301192617</v>
      </c>
      <c r="T127" s="204">
        <f ca="1">OFFSET(IND!W$25,$E127,0)</f>
        <v>5.5620886416435935</v>
      </c>
      <c r="U127" s="10">
        <f ca="1">OFFSET(IND!X$25,$E127,0)</f>
        <v>5.7620463404260844</v>
      </c>
      <c r="V127" s="10">
        <f ca="1">OFFSET(IND!Y$25,$E127,0)</f>
        <v>5.9579232698456677</v>
      </c>
      <c r="W127" s="10">
        <f ca="1">OFFSET(IND!Z$25,$E127,0)</f>
        <v>6.1538001992652518</v>
      </c>
      <c r="X127" s="10">
        <f ca="1">OFFSET(IND!AA$25,$E127,0)</f>
        <v>6.2966271269670315</v>
      </c>
      <c r="Y127" s="207">
        <f ca="1">OFFSET(IND!AB$25,$E127,0)</f>
        <v>6.4802617482978908</v>
      </c>
      <c r="Z127" s="10">
        <f ca="1">OFFSET(IND!AC$25,$E127,0)</f>
        <v>6.6271694453625782</v>
      </c>
      <c r="AA127" s="10">
        <f ca="1">OFFSET(IND!AD$25,$E127,0)</f>
        <v>6.757754064975634</v>
      </c>
      <c r="AB127" s="10">
        <f ca="1">OFFSET(IND!AE$25,$E127,0)</f>
        <v>6.90874253140323</v>
      </c>
      <c r="AC127" s="10">
        <f ca="1">OFFSET(IND!AF$25,$E127,0)</f>
        <v>7.0760540752824577</v>
      </c>
      <c r="AD127" s="10">
        <f ca="1">OFFSET(IND!AG$25,$E127,0)</f>
        <v>7.2352040804358699</v>
      </c>
      <c r="AE127" s="10">
        <f ca="1">OFFSET(IND!AH$25,$E127,0)</f>
        <v>7.4229194711296387</v>
      </c>
      <c r="AF127" s="10">
        <f ca="1">OFFSET(IND!AI$25,$E127,0)</f>
        <v>7.6187964005492228</v>
      </c>
      <c r="AG127" s="10">
        <f ca="1">OFFSET(IND!AJ$25,$E127,0)</f>
        <v>7.8105925606058983</v>
      </c>
      <c r="AH127" s="10">
        <f ca="1">OFFSET(IND!AK$25,$E127,0)</f>
        <v>8.0105502593883902</v>
      </c>
      <c r="AI127" s="10">
        <f ca="1">OFFSET(IND!AL$25,$E127,0)</f>
        <v>8.2186694968966982</v>
      </c>
      <c r="AJ127" s="10">
        <f ca="1">OFFSET(IND!AM$25,$E127,0)</f>
        <v>9.2184579908091564</v>
      </c>
      <c r="AK127" s="10">
        <f ca="1">OFFSET(IND!AN$25,$E127,0)</f>
        <v>10.565111880568795</v>
      </c>
      <c r="AL127" s="10">
        <f ca="1">OFFSET(IND!AO$25,$E127,0)</f>
        <v>12.853743364933074</v>
      </c>
      <c r="AM127" s="10">
        <f ca="1">OFFSET(IND!AP$25,$E127,0)</f>
        <v>15.20018574860517</v>
      </c>
    </row>
    <row r="128" spans="1:39">
      <c r="A128" s="35" t="s">
        <v>299</v>
      </c>
      <c r="B128">
        <v>3.4</v>
      </c>
      <c r="E128" s="129">
        <f>MATCH(F128,IND!$D$26:$D$255,0)</f>
        <v>9</v>
      </c>
      <c r="F128" s="4" t="str">
        <f t="shared" si="1"/>
        <v>INMBRI</v>
      </c>
      <c r="G128" s="10">
        <f ca="1">OFFSET(IND!J$25,$E128,0)</f>
        <v>3.2959999999999998</v>
      </c>
      <c r="H128" s="10">
        <f ca="1">OFFSET(IND!K$25,$E128,0)</f>
        <v>4.5590000000000002</v>
      </c>
      <c r="I128" s="10">
        <f ca="1">OFFSET(IND!L$25,$E128,0)</f>
        <v>5.8220999999999998</v>
      </c>
      <c r="J128" s="10">
        <f ca="1">OFFSET(IND!M$25,$E128,0)</f>
        <v>7.0850999999999997</v>
      </c>
      <c r="K128" s="10">
        <f ca="1">OFFSET(IND!N$25,$E128,0)</f>
        <v>8.3482000000000003</v>
      </c>
      <c r="L128" s="10">
        <f ca="1">OFFSET(IND!O$25,$E128,0)</f>
        <v>9.6111784370000013</v>
      </c>
      <c r="M128" s="10">
        <f ca="1">OFFSET(IND!P$25,$E128,0)</f>
        <v>9.7113601014899036</v>
      </c>
      <c r="N128" s="10">
        <f ca="1">OFFSET(IND!Q$25,$E128,0)</f>
        <v>9.7301441635817607</v>
      </c>
      <c r="O128" s="204">
        <f ca="1">OFFSET(IND!R$25,$E128,0)</f>
        <v>8.8973840775094484</v>
      </c>
      <c r="P128" s="10">
        <f ca="1">OFFSET(IND!S$25,$E128,0)</f>
        <v>9.1415768847035856</v>
      </c>
      <c r="Q128" s="10">
        <f ca="1">OFFSET(IND!T$25,$E128,0)</f>
        <v>9.3607242757752456</v>
      </c>
      <c r="R128" s="10">
        <f ca="1">OFFSET(IND!U$25,$E128,0)</f>
        <v>9.5798716668469073</v>
      </c>
      <c r="S128" s="10">
        <f ca="1">OFFSET(IND!V$25,$E128,0)</f>
        <v>9.7927577038879505</v>
      </c>
      <c r="T128" s="204">
        <f ca="1">OFFSET(IND!W$25,$E128,0)</f>
        <v>10.018166448990231</v>
      </c>
      <c r="U128" s="10">
        <f ca="1">OFFSET(IND!X$25,$E128,0)</f>
        <v>10.293666026337462</v>
      </c>
      <c r="V128" s="10">
        <f ca="1">OFFSET(IND!Y$25,$E128,0)</f>
        <v>10.569165603684693</v>
      </c>
      <c r="W128" s="10">
        <f ca="1">OFFSET(IND!Z$25,$E128,0)</f>
        <v>10.857187889093163</v>
      </c>
      <c r="X128" s="10">
        <f ca="1">OFFSET(IND!AA$25,$E128,0)</f>
        <v>11.145210174501633</v>
      </c>
      <c r="Y128" s="207">
        <f ca="1">OFFSET(IND!AB$25,$E128,0)</f>
        <v>11.439493813940722</v>
      </c>
      <c r="Z128" s="10">
        <f ca="1">OFFSET(IND!AC$25,$E128,0)</f>
        <v>11.777606931594143</v>
      </c>
      <c r="AA128" s="10">
        <f ca="1">OFFSET(IND!AD$25,$E128,0)</f>
        <v>12.096935987155709</v>
      </c>
      <c r="AB128" s="10">
        <f ca="1">OFFSET(IND!AE$25,$E128,0)</f>
        <v>12.447571812870367</v>
      </c>
      <c r="AC128" s="10">
        <f ca="1">OFFSET(IND!AF$25,$E128,0)</f>
        <v>12.829514408738119</v>
      </c>
      <c r="AD128" s="10">
        <f ca="1">OFFSET(IND!AG$25,$E128,0)</f>
        <v>13.236502420728348</v>
      </c>
      <c r="AE128" s="10">
        <f ca="1">OFFSET(IND!AH$25,$E128,0)</f>
        <v>13.656013140779812</v>
      </c>
      <c r="AF128" s="10">
        <f ca="1">OFFSET(IND!AI$25,$E128,0)</f>
        <v>14.088046568892517</v>
      </c>
      <c r="AG128" s="10">
        <f ca="1">OFFSET(IND!AJ$25,$E128,0)</f>
        <v>14.520079997005222</v>
      </c>
      <c r="AH128" s="10">
        <f ca="1">OFFSET(IND!AK$25,$E128,0)</f>
        <v>14.977158841240401</v>
      </c>
      <c r="AI128" s="10">
        <f ca="1">OFFSET(IND!AL$25,$E128,0)</f>
        <v>15.453021747567437</v>
      </c>
      <c r="AJ128" s="10">
        <f ca="1">OFFSET(IND!AM$25,$E128,0)</f>
        <v>18.151665334764182</v>
      </c>
      <c r="AK128" s="10">
        <f ca="1">OFFSET(IND!AN$25,$E128,0)</f>
        <v>21.56410328145148</v>
      </c>
      <c r="AL128" s="10">
        <f ca="1">OFFSET(IND!AO$25,$E128,0)</f>
        <v>27.55621908875376</v>
      </c>
      <c r="AM128" s="10">
        <f ca="1">OFFSET(IND!AP$25,$E128,0)</f>
        <v>33.667300622637796</v>
      </c>
    </row>
    <row r="129" spans="1:39">
      <c r="A129" s="35" t="s">
        <v>293</v>
      </c>
      <c r="B129">
        <v>10</v>
      </c>
      <c r="E129" s="129">
        <f>MATCH(F129,IND!$D$26:$D$255,0)</f>
        <v>6</v>
      </c>
      <c r="F129" s="4" t="str">
        <f t="shared" si="1"/>
        <v>INMCEM</v>
      </c>
      <c r="G129" s="10">
        <f ca="1">OFFSET(IND!J$25,$E129,0)</f>
        <v>14.27</v>
      </c>
      <c r="H129" s="10">
        <f ca="1">OFFSET(IND!K$25,$E129,0)</f>
        <v>14.368</v>
      </c>
      <c r="I129" s="10">
        <f ca="1">OFFSET(IND!L$25,$E129,0)</f>
        <v>14.465999999999999</v>
      </c>
      <c r="J129" s="10">
        <f ca="1">OFFSET(IND!M$25,$E129,0)</f>
        <v>14.564</v>
      </c>
      <c r="K129" s="10">
        <f ca="1">OFFSET(IND!N$25,$E129,0)</f>
        <v>14.662000000000001</v>
      </c>
      <c r="L129" s="10">
        <f ca="1">OFFSET(IND!O$25,$E129,0)</f>
        <v>14.759960880300349</v>
      </c>
      <c r="M129" s="10">
        <f ca="1">OFFSET(IND!P$25,$E129,0)</f>
        <v>14.913810635404458</v>
      </c>
      <c r="N129" s="10">
        <f ca="1">OFFSET(IND!Q$25,$E129,0)</f>
        <v>14.942657464486476</v>
      </c>
      <c r="O129" s="204">
        <f ca="1">OFFSET(IND!R$25,$E129,0)</f>
        <v>13.663781375183582</v>
      </c>
      <c r="P129" s="10">
        <f ca="1">OFFSET(IND!S$25,$E129,0)</f>
        <v>14.038790153249844</v>
      </c>
      <c r="Q129" s="10">
        <f ca="1">OFFSET(IND!T$25,$E129,0)</f>
        <v>14.375336492540081</v>
      </c>
      <c r="R129" s="10">
        <f ca="1">OFFSET(IND!U$25,$E129,0)</f>
        <v>14.711882831830319</v>
      </c>
      <c r="S129" s="10">
        <f ca="1">OFFSET(IND!V$25,$E129,0)</f>
        <v>15.038813561426549</v>
      </c>
      <c r="T129" s="204">
        <f ca="1">OFFSET(IND!W$25,$E129,0)</f>
        <v>15.384975510410792</v>
      </c>
      <c r="U129" s="10">
        <f ca="1">OFFSET(IND!X$25,$E129,0)</f>
        <v>15.80806233694709</v>
      </c>
      <c r="V129" s="10">
        <f ca="1">OFFSET(IND!Y$25,$E129,0)</f>
        <v>16.231149163483384</v>
      </c>
      <c r="W129" s="10">
        <f ca="1">OFFSET(IND!Z$25,$E129,0)</f>
        <v>16.673467209407693</v>
      </c>
      <c r="X129" s="10">
        <f ca="1">OFFSET(IND!AA$25,$E129,0)</f>
        <v>17.115785255332003</v>
      </c>
      <c r="Y129" s="207">
        <f ca="1">OFFSET(IND!AB$25,$E129,0)</f>
        <v>17.567718910950319</v>
      </c>
      <c r="Z129" s="10">
        <f ca="1">OFFSET(IND!AC$25,$E129,0)</f>
        <v>18.086961834426681</v>
      </c>
      <c r="AA129" s="10">
        <f ca="1">OFFSET(IND!AD$25,$E129,0)</f>
        <v>18.577357928821026</v>
      </c>
      <c r="AB129" s="10">
        <f ca="1">OFFSET(IND!AE$25,$E129,0)</f>
        <v>19.115832071685404</v>
      </c>
      <c r="AC129" s="10">
        <f ca="1">OFFSET(IND!AF$25,$E129,0)</f>
        <v>19.702384263019812</v>
      </c>
      <c r="AD129" s="10">
        <f ca="1">OFFSET(IND!AG$25,$E129,0)</f>
        <v>20.327398893130255</v>
      </c>
      <c r="AE129" s="10">
        <f ca="1">OFFSET(IND!AH$25,$E129,0)</f>
        <v>20.971644742628705</v>
      </c>
      <c r="AF129" s="10">
        <f ca="1">OFFSET(IND!AI$25,$E129,0)</f>
        <v>21.635121811515173</v>
      </c>
      <c r="AG129" s="10">
        <f ca="1">OFFSET(IND!AJ$25,$E129,0)</f>
        <v>22.298598880401638</v>
      </c>
      <c r="AH129" s="10">
        <f ca="1">OFFSET(IND!AK$25,$E129,0)</f>
        <v>23.000538388064129</v>
      </c>
      <c r="AI129" s="10">
        <f ca="1">OFFSET(IND!AL$25,$E129,0)</f>
        <v>23.731324724808641</v>
      </c>
      <c r="AJ129" s="10">
        <f ca="1">OFFSET(IND!AM$25,$E129,0)</f>
        <v>27.875652502925547</v>
      </c>
      <c r="AK129" s="10">
        <f ca="1">OFFSET(IND!AN$25,$E129,0)</f>
        <v>33.116159786159223</v>
      </c>
      <c r="AL129" s="10">
        <f ca="1">OFFSET(IND!AO$25,$E129,0)</f>
        <v>42.318298263323669</v>
      </c>
      <c r="AM129" s="10">
        <f ca="1">OFFSET(IND!AP$25,$E129,0)</f>
        <v>51.703133324674248</v>
      </c>
    </row>
    <row r="130" spans="1:39">
      <c r="A130" s="35" t="s">
        <v>298</v>
      </c>
      <c r="B130">
        <v>0.63500000000000001</v>
      </c>
      <c r="E130" s="129">
        <f>MATCH(F130,IND!$D$26:$D$255,0)</f>
        <v>8</v>
      </c>
      <c r="F130" s="4" t="str">
        <f t="shared" si="1"/>
        <v>INMGLA</v>
      </c>
      <c r="G130" s="10">
        <f ca="1">OFFSET(IND!J$25,$E130,0)</f>
        <v>1.27</v>
      </c>
      <c r="H130" s="10">
        <f ca="1">OFFSET(IND!K$25,$E130,0)</f>
        <v>1.2484871200000001</v>
      </c>
      <c r="I130" s="10">
        <f ca="1">OFFSET(IND!L$25,$E130,0)</f>
        <v>1.2269742400000001</v>
      </c>
      <c r="J130" s="10">
        <f ca="1">OFFSET(IND!M$25,$E130,0)</f>
        <v>1.2054613600000001</v>
      </c>
      <c r="K130" s="10">
        <f ca="1">OFFSET(IND!N$25,$E130,0)</f>
        <v>1.1839484800000002</v>
      </c>
      <c r="L130" s="10">
        <f ca="1">OFFSET(IND!O$25,$E130,0)</f>
        <v>1.1624356</v>
      </c>
      <c r="M130" s="10">
        <f ca="1">OFFSET(IND!P$25,$E130,0)</f>
        <v>1.17455219257329</v>
      </c>
      <c r="N130" s="10">
        <f ca="1">OFFSET(IND!Q$25,$E130,0)</f>
        <v>1.1768240536807819</v>
      </c>
      <c r="O130" s="204">
        <f ca="1">OFFSET(IND!R$25,$E130,0)</f>
        <v>1.0761048779153095</v>
      </c>
      <c r="P130" s="10">
        <f ca="1">OFFSET(IND!S$25,$E130,0)</f>
        <v>1.1056390723127036</v>
      </c>
      <c r="Q130" s="10">
        <f ca="1">OFFSET(IND!T$25,$E130,0)</f>
        <v>1.1321441185667753</v>
      </c>
      <c r="R130" s="10">
        <f ca="1">OFFSET(IND!U$25,$E130,0)</f>
        <v>1.1586491648208472</v>
      </c>
      <c r="S130" s="10">
        <f ca="1">OFFSET(IND!V$25,$E130,0)</f>
        <v>1.1843969240390881</v>
      </c>
      <c r="T130" s="204">
        <f ca="1">OFFSET(IND!W$25,$E130,0)</f>
        <v>1.2116592573289904</v>
      </c>
      <c r="U130" s="10">
        <f ca="1">OFFSET(IND!X$25,$E130,0)</f>
        <v>1.2449798869055377</v>
      </c>
      <c r="V130" s="10">
        <f ca="1">OFFSET(IND!Y$25,$E130,0)</f>
        <v>1.2783005164820846</v>
      </c>
      <c r="W130" s="10">
        <f ca="1">OFFSET(IND!Z$25,$E130,0)</f>
        <v>1.3131357201302931</v>
      </c>
      <c r="X130" s="10">
        <f ca="1">OFFSET(IND!AA$25,$E130,0)</f>
        <v>1.3479709237785016</v>
      </c>
      <c r="Y130" s="207">
        <f ca="1">OFFSET(IND!AB$25,$E130,0)</f>
        <v>1.3835634144625406</v>
      </c>
      <c r="Z130" s="10">
        <f ca="1">OFFSET(IND!AC$25,$E130,0)</f>
        <v>1.424456914397394</v>
      </c>
      <c r="AA130" s="10">
        <f ca="1">OFFSET(IND!AD$25,$E130,0)</f>
        <v>1.4630785532247557</v>
      </c>
      <c r="AB130" s="10">
        <f ca="1">OFFSET(IND!AE$25,$E130,0)</f>
        <v>1.5054866272312701</v>
      </c>
      <c r="AC130" s="10">
        <f ca="1">OFFSET(IND!AF$25,$E130,0)</f>
        <v>1.5516811364169378</v>
      </c>
      <c r="AD130" s="10">
        <f ca="1">OFFSET(IND!AG$25,$E130,0)</f>
        <v>1.6009047937459284</v>
      </c>
      <c r="AE130" s="10">
        <f ca="1">OFFSET(IND!AH$25,$E130,0)</f>
        <v>1.6516430251465799</v>
      </c>
      <c r="AF130" s="10">
        <f ca="1">OFFSET(IND!AI$25,$E130,0)</f>
        <v>1.7038958306188927</v>
      </c>
      <c r="AG130" s="10">
        <f ca="1">OFFSET(IND!AJ$25,$E130,0)</f>
        <v>1.7561486360912055</v>
      </c>
      <c r="AH130" s="10">
        <f ca="1">OFFSET(IND!AK$25,$E130,0)</f>
        <v>1.8114305897068408</v>
      </c>
      <c r="AI130" s="10">
        <f ca="1">OFFSET(IND!AL$25,$E130,0)</f>
        <v>1.8689844044299675</v>
      </c>
      <c r="AJ130" s="10">
        <f ca="1">OFFSET(IND!AM$25,$E130,0)</f>
        <v>2.1953751168729645</v>
      </c>
      <c r="AK130" s="10">
        <f ca="1">OFFSET(IND!AN$25,$E130,0)</f>
        <v>2.6080965514006516</v>
      </c>
      <c r="AL130" s="10">
        <f ca="1">OFFSET(IND!AO$25,$E130,0)</f>
        <v>3.3328202446905535</v>
      </c>
      <c r="AM130" s="10">
        <f ca="1">OFFSET(IND!AP$25,$E130,0)</f>
        <v>4.0719323916612371</v>
      </c>
    </row>
    <row r="131" spans="1:39">
      <c r="A131" s="35" t="s">
        <v>297</v>
      </c>
      <c r="B131">
        <v>1.53</v>
      </c>
      <c r="E131" s="129">
        <f>MATCH(F131,IND!$D$26:$D$255,0)</f>
        <v>7</v>
      </c>
      <c r="F131" s="4" t="str">
        <f t="shared" si="1"/>
        <v>INMLIM</v>
      </c>
      <c r="G131" s="10">
        <f ca="1">OFFSET(IND!J$25,$E131,0)</f>
        <v>1.2</v>
      </c>
      <c r="H131" s="10">
        <f ca="1">OFFSET(IND!K$25,$E131,0)</f>
        <v>1.1733333333333333</v>
      </c>
      <c r="I131" s="10">
        <f ca="1">OFFSET(IND!L$25,$E131,0)</f>
        <v>1.1466666666666667</v>
      </c>
      <c r="J131" s="10">
        <f ca="1">OFFSET(IND!M$25,$E131,0)</f>
        <v>1.1200000000000001</v>
      </c>
      <c r="K131" s="10">
        <f ca="1">OFFSET(IND!N$25,$E131,0)</f>
        <v>1.1200000000000001</v>
      </c>
      <c r="L131" s="10">
        <f ca="1">OFFSET(IND!O$25,$E131,0)</f>
        <v>1.3591716472036741</v>
      </c>
      <c r="M131" s="10">
        <f ca="1">OFFSET(IND!P$25,$E131,0)</f>
        <v>1.373338908672898</v>
      </c>
      <c r="N131" s="10">
        <f ca="1">OFFSET(IND!Q$25,$E131,0)</f>
        <v>1.3759952701983773</v>
      </c>
      <c r="O131" s="204">
        <f ca="1">OFFSET(IND!R$25,$E131,0)</f>
        <v>1.2582299092354532</v>
      </c>
      <c r="P131" s="10">
        <f ca="1">OFFSET(IND!S$25,$E131,0)</f>
        <v>1.2927626090666866</v>
      </c>
      <c r="Q131" s="10">
        <f ca="1">OFFSET(IND!T$25,$E131,0)</f>
        <v>1.3237534935306141</v>
      </c>
      <c r="R131" s="10">
        <f ca="1">OFFSET(IND!U$25,$E131,0)</f>
        <v>1.3547443779945416</v>
      </c>
      <c r="S131" s="10">
        <f ca="1">OFFSET(IND!V$25,$E131,0)</f>
        <v>1.3848498086166425</v>
      </c>
      <c r="T131" s="204">
        <f ca="1">OFFSET(IND!W$25,$E131,0)</f>
        <v>1.4167261469223964</v>
      </c>
      <c r="U131" s="10">
        <f ca="1">OFFSET(IND!X$25,$E131,0)</f>
        <v>1.4556861159627623</v>
      </c>
      <c r="V131" s="10">
        <f ca="1">OFFSET(IND!Y$25,$E131,0)</f>
        <v>1.494646085003128</v>
      </c>
      <c r="W131" s="10">
        <f ca="1">OFFSET(IND!Z$25,$E131,0)</f>
        <v>1.5353769617271469</v>
      </c>
      <c r="X131" s="10">
        <f ca="1">OFFSET(IND!AA$25,$E131,0)</f>
        <v>1.576107838451166</v>
      </c>
      <c r="Y131" s="207">
        <f ca="1">OFFSET(IND!AB$25,$E131,0)</f>
        <v>1.6177241690170112</v>
      </c>
      <c r="Z131" s="10">
        <f ca="1">OFFSET(IND!AC$25,$E131,0)</f>
        <v>1.6655386764756421</v>
      </c>
      <c r="AA131" s="10">
        <f ca="1">OFFSET(IND!AD$25,$E131,0)</f>
        <v>1.7106968224087935</v>
      </c>
      <c r="AB131" s="10">
        <f ca="1">OFFSET(IND!AE$25,$E131,0)</f>
        <v>1.7602822375510772</v>
      </c>
      <c r="AC131" s="10">
        <f ca="1">OFFSET(IND!AF$25,$E131,0)</f>
        <v>1.8142949219024935</v>
      </c>
      <c r="AD131" s="10">
        <f ca="1">OFFSET(IND!AG$25,$E131,0)</f>
        <v>1.871849421621216</v>
      </c>
      <c r="AE131" s="10">
        <f ca="1">OFFSET(IND!AH$25,$E131,0)</f>
        <v>1.9311748290235913</v>
      </c>
      <c r="AF131" s="10">
        <f ca="1">OFFSET(IND!AI$25,$E131,0)</f>
        <v>1.9922711441096197</v>
      </c>
      <c r="AG131" s="10">
        <f ca="1">OFFSET(IND!AJ$25,$E131,0)</f>
        <v>2.0533674591956483</v>
      </c>
      <c r="AH131" s="10">
        <f ca="1">OFFSET(IND!AK$25,$E131,0)</f>
        <v>2.1180055896489827</v>
      </c>
      <c r="AI131" s="10">
        <f ca="1">OFFSET(IND!AL$25,$E131,0)</f>
        <v>2.1853000816277963</v>
      </c>
      <c r="AJ131" s="10">
        <f ca="1">OFFSET(IND!AM$25,$E131,0)</f>
        <v>2.5669306874550166</v>
      </c>
      <c r="AK131" s="10">
        <f ca="1">OFFSET(IND!AN$25,$E131,0)</f>
        <v>3.0495030312504579</v>
      </c>
      <c r="AL131" s="10">
        <f ca="1">OFFSET(IND!AO$25,$E131,0)</f>
        <v>3.896882357878416</v>
      </c>
      <c r="AM131" s="10">
        <f ca="1">OFFSET(IND!AP$25,$E131,0)</f>
        <v>4.7610853075010766</v>
      </c>
    </row>
    <row r="132" spans="1:39">
      <c r="A132" s="35" t="s">
        <v>385</v>
      </c>
      <c r="B132">
        <v>7.8658203618</v>
      </c>
      <c r="E132" s="129">
        <f ca="1">MATCH(F132,IND!$D$26:$D$255,0)</f>
        <v>228</v>
      </c>
      <c r="F132" s="4" t="str">
        <f>A132</f>
        <v>IOTR</v>
      </c>
      <c r="G132" s="10">
        <f ca="1">OFFSET(IND!J$25,$E132,0)</f>
        <v>9.4685659246785185</v>
      </c>
      <c r="H132" s="10">
        <f ca="1">OFFSET(IND!K$25,$E132,0)</f>
        <v>9.7150300822932927</v>
      </c>
      <c r="I132" s="10">
        <f ca="1">OFFSET(IND!L$25,$E132,0)</f>
        <v>9.8766591057209254</v>
      </c>
      <c r="J132" s="10">
        <f ca="1">OFFSET(IND!M$25,$E132,0)</f>
        <v>37.630000000000003</v>
      </c>
      <c r="K132" s="10">
        <f ca="1">OFFSET(IND!N$25,$E132,0)</f>
        <v>37.630000000000003</v>
      </c>
      <c r="L132" s="10">
        <f ca="1">OFFSET(IND!O$25,$E132,0)</f>
        <v>37.630000000000003</v>
      </c>
      <c r="M132" s="10">
        <f ca="1">OFFSET(IND!P$25,$E132,0)</f>
        <v>37.957813415696535</v>
      </c>
      <c r="N132" s="10">
        <f ca="1">OFFSET(IND!Q$25,$E132,0)</f>
        <v>37.947382988833461</v>
      </c>
      <c r="O132" s="204">
        <f ca="1">OFFSET(IND!R$25,$E132,0)</f>
        <v>34.307164013621616</v>
      </c>
      <c r="P132" s="10">
        <f ca="1">OFFSET(IND!S$25,$E132,0)</f>
        <v>35.268253346004599</v>
      </c>
      <c r="Q132" s="10">
        <f ca="1">OFFSET(IND!T$25,$E132,0)</f>
        <v>36.147389324463454</v>
      </c>
      <c r="R132" s="10">
        <f ca="1">OFFSET(IND!U$25,$E132,0)</f>
        <v>37.002684327235293</v>
      </c>
      <c r="S132" s="10">
        <f ca="1">OFFSET(IND!V$25,$E132,0)</f>
        <v>37.822217866476606</v>
      </c>
      <c r="T132" s="204">
        <f ca="1">OFFSET(IND!W$25,$E132,0)</f>
        <v>38.683473113170201</v>
      </c>
      <c r="U132" s="10">
        <f ca="1">OFFSET(IND!X$25,$E132,0)</f>
        <v>39.77270768987092</v>
      </c>
      <c r="V132" s="10">
        <f ca="1">OFFSET(IND!Y$25,$E132,0)</f>
        <v>40.847041656767246</v>
      </c>
      <c r="W132" s="10">
        <f ca="1">OFFSET(IND!Z$25,$E132,0)</f>
        <v>41.964587392096306</v>
      </c>
      <c r="X132" s="10">
        <f ca="1">OFFSET(IND!AA$25,$E132,0)</f>
        <v>43.097033737229751</v>
      </c>
      <c r="Y132" s="207">
        <f ca="1">OFFSET(IND!AB$25,$E132,0)</f>
        <v>44.25779124099153</v>
      </c>
      <c r="Z132" s="10">
        <f ca="1">OFFSET(IND!AC$25,$E132,0)</f>
        <v>45.542223806129726</v>
      </c>
      <c r="AA132" s="10">
        <f ca="1">OFFSET(IND!AD$25,$E132,0)</f>
        <v>46.774504236952573</v>
      </c>
      <c r="AB132" s="10">
        <f ca="1">OFFSET(IND!AE$25,$E132,0)</f>
        <v>48.137910034054023</v>
      </c>
      <c r="AC132" s="10">
        <f ca="1">OFFSET(IND!AF$25,$E132,0)</f>
        <v>49.599659855864424</v>
      </c>
      <c r="AD132" s="10">
        <f ca="1">OFFSET(IND!AG$25,$E132,0)</f>
        <v>51.149323275520715</v>
      </c>
      <c r="AE132" s="10">
        <f ca="1">OFFSET(IND!AH$25,$E132,0)</f>
        <v>52.761569256355436</v>
      </c>
      <c r="AF132" s="10">
        <f ca="1">OFFSET(IND!AI$25,$E132,0)</f>
        <v>54.43192761542727</v>
      </c>
      <c r="AG132" s="10">
        <f ca="1">OFFSET(IND!AJ$25,$E132,0)</f>
        <v>56.118676645283919</v>
      </c>
      <c r="AH132" s="10">
        <f ca="1">OFFSET(IND!AK$25,$E132,0)</f>
        <v>57.868008236319007</v>
      </c>
      <c r="AI132" s="10">
        <f ca="1">OFFSET(IND!AL$25,$E132,0)</f>
        <v>59.72015403500437</v>
      </c>
      <c r="AJ132" s="10">
        <f ca="1">OFFSET(IND!AM$25,$E132,0)</f>
        <v>69.994124495129498</v>
      </c>
      <c r="AK132" s="10">
        <f ca="1">OFFSET(IND!AN$25,$E132,0)</f>
        <v>82.954674902985687</v>
      </c>
      <c r="AL132" s="10">
        <f ca="1">OFFSET(IND!AO$25,$E132,0)</f>
        <v>105.74143244634523</v>
      </c>
      <c r="AM132" s="10">
        <f ca="1">OFFSET(IND!AP$25,$E132,0)</f>
        <v>128.97595331432603</v>
      </c>
    </row>
    <row r="133" spans="1:39">
      <c r="A133" s="35" t="s">
        <v>300</v>
      </c>
      <c r="E133" s="129">
        <f>MATCH(F133,IND!$D$26:$D$255,0)</f>
        <v>11</v>
      </c>
      <c r="F133" s="4" t="str">
        <f>A133</f>
        <v>IPPPAP</v>
      </c>
      <c r="G133" s="10">
        <f ca="1">OFFSET(IND!J$25,$E133,0)</f>
        <v>2.0533000000000001</v>
      </c>
      <c r="H133" s="10">
        <f ca="1">OFFSET(IND!K$25,$E133,0)</f>
        <v>2.0786519999999999</v>
      </c>
      <c r="I133" s="10">
        <f ca="1">OFFSET(IND!L$25,$E133,0)</f>
        <v>2.1040039999999998</v>
      </c>
      <c r="J133" s="10">
        <f ca="1">OFFSET(IND!M$25,$E133,0)</f>
        <v>2.1293559999999996</v>
      </c>
      <c r="K133" s="10">
        <f ca="1">OFFSET(IND!N$25,$E133,0)</f>
        <v>2.1547079999999994</v>
      </c>
      <c r="L133" s="10">
        <f ca="1">OFFSET(IND!O$25,$E133,0)</f>
        <v>2.1800600000000001</v>
      </c>
      <c r="M133" s="10">
        <f ca="1">OFFSET(IND!P$25,$E133,0)</f>
        <v>2.2106692667706707</v>
      </c>
      <c r="N133" s="10">
        <f ca="1">OFFSET(IND!Q$25,$E133,0)</f>
        <v>2.2129366198647946</v>
      </c>
      <c r="O133" s="204">
        <f ca="1">OFFSET(IND!R$25,$E133,0)</f>
        <v>2.0587566094643788</v>
      </c>
      <c r="P133" s="10">
        <f ca="1">OFFSET(IND!S$25,$E133,0)</f>
        <v>2.1177077899115964</v>
      </c>
      <c r="Q133" s="10">
        <f ca="1">OFFSET(IND!T$25,$E133,0)</f>
        <v>2.1709905876235047</v>
      </c>
      <c r="R133" s="10">
        <f ca="1">OFFSET(IND!U$25,$E133,0)</f>
        <v>2.2231397087883518</v>
      </c>
      <c r="S133" s="10">
        <f ca="1">OFFSET(IND!V$25,$E133,0)</f>
        <v>2.2718878003120127</v>
      </c>
      <c r="T133" s="204">
        <f ca="1">OFFSET(IND!W$25,$E133,0)</f>
        <v>2.3251705980239215</v>
      </c>
      <c r="U133" s="10">
        <f ca="1">OFFSET(IND!X$25,$E133,0)</f>
        <v>2.393191190847634</v>
      </c>
      <c r="V133" s="10">
        <f ca="1">OFFSET(IND!Y$25,$E133,0)</f>
        <v>2.4589444305772235</v>
      </c>
      <c r="W133" s="10">
        <f ca="1">OFFSET(IND!Z$25,$E133,0)</f>
        <v>2.5258313468538747</v>
      </c>
      <c r="X133" s="10">
        <f ca="1">OFFSET(IND!AA$25,$E133,0)</f>
        <v>2.588183556942278</v>
      </c>
      <c r="Y133" s="207">
        <f ca="1">OFFSET(IND!AB$25,$E133,0)</f>
        <v>2.6550704732189296</v>
      </c>
      <c r="Z133" s="10">
        <f ca="1">OFFSET(IND!AC$25,$E133,0)</f>
        <v>2.7230910660426426</v>
      </c>
      <c r="AA133" s="10">
        <f ca="1">OFFSET(IND!AD$25,$E133,0)</f>
        <v>2.7899779823192938</v>
      </c>
      <c r="AB133" s="10">
        <f ca="1">OFFSET(IND!AE$25,$E133,0)</f>
        <v>2.8636669578783165</v>
      </c>
      <c r="AC133" s="10">
        <f ca="1">OFFSET(IND!AF$25,$E133,0)</f>
        <v>2.9407569630785244</v>
      </c>
      <c r="AD133" s="10">
        <f ca="1">OFFSET(IND!AG$25,$E133,0)</f>
        <v>3.021247997919918</v>
      </c>
      <c r="AE133" s="10">
        <f ca="1">OFFSET(IND!AH$25,$E133,0)</f>
        <v>3.1085410920436836</v>
      </c>
      <c r="AF133" s="10">
        <f ca="1">OFFSET(IND!AI$25,$E133,0)</f>
        <v>3.1992352158086339</v>
      </c>
      <c r="AG133" s="10">
        <f ca="1">OFFSET(IND!AJ$25,$E133,0)</f>
        <v>3.2910630161206464</v>
      </c>
      <c r="AH133" s="10">
        <f ca="1">OFFSET(IND!AK$25,$E133,0)</f>
        <v>3.3874255226209065</v>
      </c>
      <c r="AI133" s="10">
        <f ca="1">OFFSET(IND!AL$25,$E133,0)</f>
        <v>3.4894564118564761</v>
      </c>
      <c r="AJ133" s="10">
        <f ca="1">OFFSET(IND!AM$25,$E133,0)</f>
        <v>4.0381558606344274</v>
      </c>
      <c r="AK133" s="10">
        <f ca="1">OFFSET(IND!AN$25,$E133,0)</f>
        <v>4.727431201248053</v>
      </c>
      <c r="AL133" s="10">
        <f ca="1">OFFSET(IND!AO$25,$E133,0)</f>
        <v>5.9419766753336409</v>
      </c>
      <c r="AM133" s="10">
        <f ca="1">OFFSET(IND!AP$25,$E133,0)</f>
        <v>7.1799514647252263</v>
      </c>
    </row>
    <row r="134" spans="1:39">
      <c r="A134" s="35" t="s">
        <v>301</v>
      </c>
      <c r="E134" s="129">
        <f>MATCH(F134,IND!$D$26:$D$255,0)</f>
        <v>12</v>
      </c>
      <c r="F134" s="4" t="str">
        <f>A134</f>
        <v>IPPPULPD</v>
      </c>
      <c r="G134" s="10">
        <f ca="1">OFFSET(IND!J$25,$E134,0)</f>
        <v>0.73711514499999997</v>
      </c>
      <c r="H134" s="10">
        <f ca="1">OFFSET(IND!K$25,$E134,0)</f>
        <v>0.73711514499999997</v>
      </c>
      <c r="I134" s="10">
        <f ca="1">OFFSET(IND!L$25,$E134,0)</f>
        <v>0.73711514499999997</v>
      </c>
      <c r="J134" s="10">
        <f ca="1">OFFSET(IND!M$25,$E134,0)</f>
        <v>0.73711514499999997</v>
      </c>
      <c r="K134" s="10">
        <f ca="1">OFFSET(IND!N$25,$E134,0)</f>
        <v>0.7</v>
      </c>
      <c r="L134" s="10">
        <f ca="1">OFFSET(IND!O$25,$E134,0)</f>
        <v>0.65910719806663931</v>
      </c>
      <c r="M134" s="10">
        <f ca="1">OFFSET(IND!P$25,$E134,0)</f>
        <v>0.66836143329690412</v>
      </c>
      <c r="N134" s="10">
        <f ca="1">OFFSET(IND!Q$25,$E134,0)</f>
        <v>0.66904693220284961</v>
      </c>
      <c r="O134" s="204">
        <f ca="1">OFFSET(IND!R$25,$E134,0)</f>
        <v>0.62243300659855272</v>
      </c>
      <c r="P134" s="10">
        <f ca="1">OFFSET(IND!S$25,$E134,0)</f>
        <v>0.64025597815313684</v>
      </c>
      <c r="Q134" s="10">
        <f ca="1">OFFSET(IND!T$25,$E134,0)</f>
        <v>0.65636520244285701</v>
      </c>
      <c r="R134" s="10">
        <f ca="1">OFFSET(IND!U$25,$E134,0)</f>
        <v>0.67213167727960454</v>
      </c>
      <c r="S134" s="10">
        <f ca="1">OFFSET(IND!V$25,$E134,0)</f>
        <v>0.68686990375743373</v>
      </c>
      <c r="T134" s="204">
        <f ca="1">OFFSET(IND!W$25,$E134,0)</f>
        <v>0.70297912804715412</v>
      </c>
      <c r="U134" s="10">
        <f ca="1">OFFSET(IND!X$25,$E134,0)</f>
        <v>0.72354409522552032</v>
      </c>
      <c r="V134" s="10">
        <f ca="1">OFFSET(IND!Y$25,$E134,0)</f>
        <v>0.74342356349794114</v>
      </c>
      <c r="W134" s="10">
        <f ca="1">OFFSET(IND!Z$25,$E134,0)</f>
        <v>0.76364578122333471</v>
      </c>
      <c r="X134" s="10">
        <f ca="1">OFFSET(IND!AA$25,$E134,0)</f>
        <v>0.78249700113683707</v>
      </c>
      <c r="Y134" s="207">
        <f ca="1">OFFSET(IND!AB$25,$E134,0)</f>
        <v>0.80271921886223074</v>
      </c>
      <c r="Z134" s="10">
        <f ca="1">OFFSET(IND!AC$25,$E134,0)</f>
        <v>0.82328418604059694</v>
      </c>
      <c r="AA134" s="10">
        <f ca="1">OFFSET(IND!AD$25,$E134,0)</f>
        <v>0.84350640376599051</v>
      </c>
      <c r="AB134" s="10">
        <f ca="1">OFFSET(IND!AE$25,$E134,0)</f>
        <v>0.86578511820922066</v>
      </c>
      <c r="AC134" s="10">
        <f ca="1">OFFSET(IND!AF$25,$E134,0)</f>
        <v>0.88909208101136905</v>
      </c>
      <c r="AD134" s="10">
        <f ca="1">OFFSET(IND!AG$25,$E134,0)</f>
        <v>0.91342729217243568</v>
      </c>
      <c r="AE134" s="10">
        <f ca="1">OFFSET(IND!AH$25,$E134,0)</f>
        <v>0.93981900005133923</v>
      </c>
      <c r="AF134" s="10">
        <f ca="1">OFFSET(IND!AI$25,$E134,0)</f>
        <v>0.96723895628916079</v>
      </c>
      <c r="AG134" s="10">
        <f ca="1">OFFSET(IND!AJ$25,$E134,0)</f>
        <v>0.99500166197995532</v>
      </c>
      <c r="AH134" s="10">
        <f ca="1">OFFSET(IND!AK$25,$E134,0)</f>
        <v>1.0241353654826408</v>
      </c>
      <c r="AI134" s="10">
        <f ca="1">OFFSET(IND!AL$25,$E134,0)</f>
        <v>1.0549828162501904</v>
      </c>
      <c r="AJ134" s="10">
        <f ca="1">OFFSET(IND!AM$25,$E134,0)</f>
        <v>1.2208735514890117</v>
      </c>
      <c r="AK134" s="10">
        <f ca="1">OFFSET(IND!AN$25,$E134,0)</f>
        <v>1.429265218896457</v>
      </c>
      <c r="AL134" s="10">
        <f ca="1">OFFSET(IND!AO$25,$E134,0)</f>
        <v>1.7964641328479398</v>
      </c>
      <c r="AM134" s="10">
        <f ca="1">OFFSET(IND!AP$25,$E134,0)</f>
        <v>2.1707465354942088</v>
      </c>
    </row>
    <row r="135" spans="1:39" s="4" customFormat="1">
      <c r="A135" s="35" t="s">
        <v>615</v>
      </c>
      <c r="E135" s="129">
        <f>MATCH(F135,IND!$D$26:$D$255,0)</f>
        <v>2</v>
      </c>
      <c r="F135" s="4" t="str">
        <f>A135</f>
        <v>IFAM</v>
      </c>
      <c r="G135" s="10">
        <f ca="1">OFFSET(IND!J$25,$E135,0)</f>
        <v>4.0820999999999996</v>
      </c>
      <c r="H135" s="10">
        <f ca="1">OFFSET(IND!K$25,$E135,0)</f>
        <v>4.1753999999999998</v>
      </c>
      <c r="I135" s="10">
        <f ca="1">OFFSET(IND!L$25,$E135,0)</f>
        <v>4.8628999999999998</v>
      </c>
      <c r="J135" s="10">
        <f ca="1">OFFSET(IND!M$25,$E135,0)</f>
        <v>4.4805999999999999</v>
      </c>
      <c r="K135" s="10">
        <f ca="1">OFFSET(IND!N$25,$E135,0)</f>
        <v>4.3260612235437241</v>
      </c>
      <c r="L135" s="10">
        <f ca="1">OFFSET(IND!O$25,$E135,0)</f>
        <v>4.372754104082464</v>
      </c>
      <c r="M135" s="10">
        <f ca="1">OFFSET(IND!P$25,$E135,0)</f>
        <v>4.3281858435822027</v>
      </c>
      <c r="N135" s="10">
        <f ca="1">OFFSET(IND!Q$25,$E135,0)</f>
        <v>4.255661128768141</v>
      </c>
      <c r="O135" s="204">
        <f ca="1">OFFSET(IND!R$25,$E135,0)</f>
        <v>3.911270024902485</v>
      </c>
      <c r="P135" s="10">
        <f ca="1">OFFSET(IND!S$25,$E135,0)</f>
        <v>3.9783249986551508</v>
      </c>
      <c r="Q135" s="10">
        <f ca="1">OFFSET(IND!T$25,$E135,0)</f>
        <v>4.0324146602622868</v>
      </c>
      <c r="R135" s="10">
        <f ca="1">OFFSET(IND!U$25,$E135,0)</f>
        <v>4.0828578278284908</v>
      </c>
      <c r="S135" s="10">
        <f ca="1">OFFSET(IND!V$25,$E135,0)</f>
        <v>4.130869999367409</v>
      </c>
      <c r="T135" s="204">
        <f ca="1">OFFSET(IND!W$25,$E135,0)</f>
        <v>4.1963043091018832</v>
      </c>
      <c r="U135" s="10">
        <f ca="1">OFFSET(IND!X$25,$E135,0)</f>
        <v>4.2986087252502108</v>
      </c>
      <c r="V135" s="10">
        <f ca="1">OFFSET(IND!Y$25,$E135,0)</f>
        <v>4.4092190444917687</v>
      </c>
      <c r="W135" s="10">
        <f ca="1">OFFSET(IND!Z$25,$E135,0)</f>
        <v>4.5281352668265571</v>
      </c>
      <c r="X135" s="10">
        <f ca="1">OFFSET(IND!AA$25,$E135,0)</f>
        <v>4.6328706790021705</v>
      </c>
      <c r="Y135" s="207">
        <f ca="1">OFFSET(IND!AB$25,$E135,0)</f>
        <v>4.7538127313596972</v>
      </c>
      <c r="Z135" s="10">
        <f ca="1">OFFSET(IND!AC$25,$E135,0)</f>
        <v>4.8680695446421858</v>
      </c>
      <c r="AA135" s="10">
        <f ca="1">OFFSET(IND!AD$25,$E135,0)</f>
        <v>4.9740204548314431</v>
      </c>
      <c r="AB135" s="10">
        <f ca="1">OFFSET(IND!AE$25,$E135,0)</f>
        <v>5.086859187098014</v>
      </c>
      <c r="AC135" s="10">
        <f ca="1">OFFSET(IND!AF$25,$E135,0)</f>
        <v>5.2045599114191594</v>
      </c>
      <c r="AD135" s="10">
        <f ca="1">OFFSET(IND!AG$25,$E135,0)</f>
        <v>5.3244890487653169</v>
      </c>
      <c r="AE135" s="10">
        <f ca="1">OFFSET(IND!AH$25,$E135,0)</f>
        <v>5.4569783322524579</v>
      </c>
      <c r="AF135" s="10">
        <f ca="1">OFFSET(IND!AI$25,$E135,0)</f>
        <v>5.594734773798721</v>
      </c>
      <c r="AG135" s="10">
        <f ca="1">OFFSET(IND!AJ$25,$E135,0)</f>
        <v>5.732693798347257</v>
      </c>
      <c r="AH135" s="10">
        <f ca="1">OFFSET(IND!AK$25,$E135,0)</f>
        <v>5.8759199809549152</v>
      </c>
      <c r="AI135" s="10">
        <f ca="1">OFFSET(IND!AL$25,$E135,0)</f>
        <v>6.0292753136762691</v>
      </c>
      <c r="AJ135" s="10">
        <f ca="1">OFFSET(IND!AM$25,$E135,0)</f>
        <v>6.7725523490192643</v>
      </c>
      <c r="AK135" s="10">
        <f ca="1">OFFSET(IND!AN$25,$E135,0)</f>
        <v>7.698154086408783</v>
      </c>
      <c r="AL135" s="10">
        <f ca="1">OFFSET(IND!AO$25,$E135,0)</f>
        <v>9.3366454088002317</v>
      </c>
      <c r="AM135" s="10">
        <f ca="1">OFFSET(IND!AP$25,$E135,0)</f>
        <v>11.005524181532767</v>
      </c>
    </row>
    <row r="136" spans="1:39">
      <c r="B136" s="4"/>
      <c r="C136" s="4"/>
      <c r="E136" s="129"/>
      <c r="F136" s="4"/>
      <c r="G136" s="10"/>
      <c r="H136" s="10"/>
      <c r="I136" s="10"/>
      <c r="J136" s="10"/>
      <c r="K136" s="10"/>
      <c r="L136" s="10"/>
      <c r="M136" s="10"/>
      <c r="N136" s="10"/>
      <c r="O136" s="204"/>
      <c r="P136" s="10"/>
      <c r="Q136" s="10"/>
      <c r="R136" s="10"/>
      <c r="S136" s="10"/>
      <c r="T136" s="204"/>
      <c r="U136" s="10"/>
      <c r="V136" s="10"/>
      <c r="W136" s="10"/>
      <c r="X136" s="10"/>
      <c r="Y136" s="207"/>
      <c r="Z136" s="10"/>
      <c r="AA136" s="10"/>
      <c r="AB136" s="10"/>
      <c r="AC136" s="10"/>
      <c r="AD136" s="10"/>
      <c r="AE136" s="10"/>
      <c r="AF136" s="10"/>
      <c r="AG136" s="10"/>
      <c r="AH136" s="10"/>
      <c r="AI136" s="10"/>
      <c r="AJ136" s="10"/>
      <c r="AK136" s="10"/>
      <c r="AL136" s="10"/>
      <c r="AM136" s="10"/>
    </row>
    <row r="137" spans="1:39">
      <c r="B137" s="4"/>
      <c r="C137" s="4"/>
      <c r="E137" s="129"/>
      <c r="F137" s="4"/>
      <c r="G137" s="10"/>
      <c r="H137" s="10"/>
      <c r="I137" s="10"/>
      <c r="J137" s="10"/>
      <c r="K137" s="10"/>
      <c r="L137" s="10"/>
      <c r="M137" s="10"/>
      <c r="N137" s="10"/>
      <c r="O137" s="204"/>
      <c r="P137" s="10"/>
      <c r="Q137" s="10"/>
      <c r="R137" s="10"/>
      <c r="S137" s="10"/>
      <c r="T137" s="204"/>
      <c r="U137" s="10"/>
      <c r="V137" s="10"/>
      <c r="W137" s="10"/>
      <c r="X137" s="10"/>
      <c r="Y137" s="207"/>
      <c r="Z137" s="10"/>
      <c r="AA137" s="10"/>
      <c r="AB137" s="10"/>
      <c r="AC137" s="10"/>
      <c r="AD137" s="10"/>
      <c r="AE137" s="10"/>
      <c r="AF137" s="10"/>
      <c r="AG137" s="10"/>
      <c r="AH137" s="10"/>
      <c r="AI137" s="10"/>
      <c r="AJ137" s="10"/>
      <c r="AK137" s="10"/>
      <c r="AL137" s="10"/>
      <c r="AM137" s="10"/>
    </row>
    <row r="138" spans="1:39">
      <c r="B138" s="4"/>
      <c r="C138" s="4"/>
      <c r="E138" s="129"/>
      <c r="F138" s="4"/>
      <c r="G138" s="10"/>
      <c r="H138" s="10"/>
      <c r="I138" s="10"/>
      <c r="J138" s="10"/>
      <c r="K138" s="10"/>
      <c r="L138" s="10"/>
      <c r="M138" s="10"/>
      <c r="N138" s="10"/>
      <c r="O138" s="204"/>
      <c r="P138" s="10"/>
      <c r="Q138" s="10"/>
      <c r="R138" s="10"/>
      <c r="S138" s="10"/>
      <c r="T138" s="204"/>
      <c r="U138" s="10"/>
      <c r="V138" s="10"/>
      <c r="W138" s="10"/>
      <c r="X138" s="10"/>
      <c r="Y138" s="207"/>
      <c r="Z138" s="10"/>
      <c r="AA138" s="10"/>
      <c r="AB138" s="10"/>
      <c r="AC138" s="10"/>
      <c r="AD138" s="10"/>
      <c r="AE138" s="10"/>
      <c r="AF138" s="10"/>
      <c r="AG138" s="10"/>
      <c r="AH138" s="10"/>
      <c r="AI138" s="10"/>
      <c r="AJ138" s="10"/>
      <c r="AK138" s="10"/>
      <c r="AL138" s="10"/>
      <c r="AM138" s="10"/>
    </row>
    <row r="139" spans="1:39">
      <c r="B139" s="4"/>
      <c r="C139" s="4"/>
      <c r="E139" s="129"/>
      <c r="F139" s="4"/>
      <c r="G139" s="10"/>
      <c r="H139" s="10"/>
      <c r="I139" s="10"/>
      <c r="J139" s="10"/>
      <c r="K139" s="10"/>
      <c r="L139" s="10"/>
      <c r="M139" s="10"/>
      <c r="N139" s="10"/>
      <c r="O139" s="204"/>
      <c r="P139" s="10"/>
      <c r="Q139" s="10"/>
      <c r="R139" s="10"/>
      <c r="S139" s="10"/>
      <c r="T139" s="204"/>
      <c r="U139" s="10"/>
      <c r="V139" s="10"/>
      <c r="W139" s="10"/>
      <c r="X139" s="10"/>
      <c r="Y139" s="207"/>
      <c r="Z139" s="10"/>
      <c r="AA139" s="10"/>
      <c r="AB139" s="10"/>
      <c r="AC139" s="10"/>
      <c r="AD139" s="10"/>
      <c r="AE139" s="10"/>
      <c r="AF139" s="10"/>
      <c r="AG139" s="10"/>
      <c r="AH139" s="10"/>
      <c r="AI139" s="10"/>
      <c r="AJ139" s="10"/>
      <c r="AK139" s="10"/>
      <c r="AL139" s="10"/>
      <c r="AM139" s="10"/>
    </row>
    <row r="140" spans="1:39">
      <c r="B140" s="4"/>
      <c r="C140" s="4"/>
      <c r="E140" s="129"/>
      <c r="F140" s="4"/>
      <c r="G140" s="10"/>
      <c r="H140" s="10"/>
      <c r="I140" s="10"/>
      <c r="J140" s="10"/>
      <c r="K140" s="10"/>
      <c r="L140" s="10"/>
      <c r="M140" s="10"/>
      <c r="N140" s="10"/>
      <c r="O140" s="204"/>
      <c r="P140" s="10"/>
      <c r="Q140" s="10"/>
      <c r="R140" s="10"/>
      <c r="S140" s="10"/>
      <c r="T140" s="204"/>
      <c r="U140" s="10"/>
      <c r="V140" s="10"/>
      <c r="W140" s="10"/>
      <c r="X140" s="10"/>
      <c r="Y140" s="207"/>
      <c r="Z140" s="10"/>
      <c r="AA140" s="10"/>
      <c r="AB140" s="10"/>
      <c r="AC140" s="10"/>
      <c r="AD140" s="10"/>
      <c r="AE140" s="10"/>
      <c r="AF140" s="10"/>
      <c r="AG140" s="10"/>
      <c r="AH140" s="10"/>
      <c r="AI140" s="10"/>
      <c r="AJ140" s="10"/>
      <c r="AK140" s="10"/>
      <c r="AL140" s="10"/>
      <c r="AM140" s="10"/>
    </row>
    <row r="141" spans="1:39">
      <c r="B141" s="4"/>
      <c r="C141" s="4"/>
      <c r="E141" s="129"/>
      <c r="F141" s="4"/>
      <c r="G141" s="10"/>
      <c r="H141" s="10"/>
      <c r="I141" s="10"/>
      <c r="J141" s="10"/>
      <c r="K141" s="10"/>
      <c r="L141" s="10"/>
      <c r="M141" s="10"/>
      <c r="N141" s="10"/>
      <c r="O141" s="204"/>
      <c r="P141" s="10"/>
      <c r="Q141" s="10"/>
      <c r="R141" s="10"/>
      <c r="S141" s="10"/>
      <c r="T141" s="204"/>
      <c r="U141" s="10"/>
      <c r="V141" s="10"/>
      <c r="W141" s="10"/>
      <c r="X141" s="10"/>
      <c r="Y141" s="207"/>
      <c r="Z141" s="10"/>
      <c r="AA141" s="10"/>
      <c r="AB141" s="10"/>
      <c r="AC141" s="10"/>
      <c r="AD141" s="10"/>
      <c r="AE141" s="10"/>
      <c r="AF141" s="10"/>
      <c r="AG141" s="10"/>
      <c r="AH141" s="10"/>
      <c r="AI141" s="10"/>
      <c r="AJ141" s="10"/>
      <c r="AK141" s="10"/>
      <c r="AL141" s="10"/>
      <c r="AM141" s="10"/>
    </row>
    <row r="142" spans="1:39">
      <c r="B142" s="4"/>
      <c r="C142" s="4"/>
      <c r="E142" s="129"/>
      <c r="F142" s="4"/>
      <c r="G142" s="10"/>
      <c r="H142" s="10"/>
      <c r="I142" s="10"/>
      <c r="J142" s="10"/>
      <c r="K142" s="10"/>
      <c r="L142" s="10"/>
      <c r="M142" s="10"/>
      <c r="N142" s="10"/>
      <c r="O142" s="204"/>
      <c r="P142" s="10"/>
      <c r="Q142" s="10"/>
      <c r="R142" s="10"/>
      <c r="S142" s="10"/>
      <c r="T142" s="204"/>
      <c r="U142" s="10"/>
      <c r="V142" s="10"/>
      <c r="W142" s="10"/>
      <c r="X142" s="10"/>
      <c r="Y142" s="207"/>
      <c r="Z142" s="10"/>
      <c r="AA142" s="10"/>
      <c r="AB142" s="10"/>
      <c r="AC142" s="10"/>
      <c r="AD142" s="10"/>
      <c r="AE142" s="10"/>
      <c r="AF142" s="10"/>
      <c r="AG142" s="10"/>
      <c r="AH142" s="10"/>
      <c r="AI142" s="10"/>
      <c r="AJ142" s="10"/>
      <c r="AK142" s="10"/>
      <c r="AL142" s="10"/>
      <c r="AM142" s="10"/>
    </row>
    <row r="143" spans="1:39">
      <c r="B143" s="4"/>
      <c r="C143" s="4"/>
      <c r="E143" s="129"/>
      <c r="F143" s="4"/>
      <c r="G143" s="10"/>
      <c r="H143" s="10"/>
      <c r="I143" s="10"/>
      <c r="J143" s="10"/>
      <c r="K143" s="10"/>
      <c r="L143" s="10"/>
      <c r="M143" s="10"/>
      <c r="N143" s="10"/>
      <c r="O143" s="204"/>
      <c r="P143" s="10"/>
      <c r="Q143" s="10"/>
      <c r="R143" s="10"/>
      <c r="S143" s="10"/>
      <c r="T143" s="204"/>
      <c r="U143" s="10"/>
      <c r="V143" s="10"/>
      <c r="W143" s="10"/>
      <c r="X143" s="10"/>
      <c r="Y143" s="207"/>
      <c r="Z143" s="10"/>
      <c r="AA143" s="10"/>
      <c r="AB143" s="10"/>
      <c r="AC143" s="10"/>
      <c r="AD143" s="10"/>
      <c r="AE143" s="10"/>
      <c r="AF143" s="10"/>
      <c r="AG143" s="10"/>
      <c r="AH143" s="10"/>
      <c r="AI143" s="10"/>
      <c r="AJ143" s="10"/>
      <c r="AK143" s="10"/>
      <c r="AL143" s="10"/>
      <c r="AM143" s="10"/>
    </row>
    <row r="144" spans="1:39">
      <c r="B144" s="4"/>
      <c r="C144" s="4"/>
      <c r="E144" s="129"/>
      <c r="F144" s="4"/>
      <c r="G144" s="10"/>
      <c r="H144" s="10"/>
      <c r="I144" s="10"/>
      <c r="J144" s="10"/>
      <c r="K144" s="10"/>
      <c r="L144" s="10"/>
      <c r="M144" s="10"/>
      <c r="N144" s="10"/>
      <c r="O144" s="204"/>
      <c r="P144" s="10"/>
      <c r="Q144" s="10"/>
      <c r="R144" s="10"/>
      <c r="S144" s="10"/>
      <c r="T144" s="204"/>
      <c r="U144" s="10"/>
      <c r="V144" s="10"/>
      <c r="W144" s="10"/>
      <c r="X144" s="10"/>
      <c r="Y144" s="207"/>
      <c r="Z144" s="10"/>
      <c r="AA144" s="10"/>
      <c r="AB144" s="10"/>
      <c r="AC144" s="10"/>
      <c r="AD144" s="10"/>
      <c r="AE144" s="10"/>
      <c r="AF144" s="10"/>
      <c r="AG144" s="10"/>
      <c r="AH144" s="10"/>
      <c r="AI144" s="10"/>
      <c r="AJ144" s="10"/>
      <c r="AK144" s="10"/>
      <c r="AL144" s="10"/>
      <c r="AM144" s="10"/>
    </row>
    <row r="145" spans="2:39">
      <c r="B145" s="4"/>
      <c r="C145" s="4"/>
      <c r="E145" s="129"/>
      <c r="F145" s="4"/>
      <c r="G145" s="10"/>
      <c r="H145" s="10"/>
      <c r="I145" s="10"/>
      <c r="J145" s="10"/>
      <c r="K145" s="10"/>
      <c r="L145" s="10"/>
      <c r="M145" s="10"/>
      <c r="N145" s="10"/>
      <c r="O145" s="204"/>
      <c r="P145" s="10"/>
      <c r="Q145" s="10"/>
      <c r="R145" s="10"/>
      <c r="S145" s="10"/>
      <c r="T145" s="204"/>
      <c r="U145" s="10"/>
      <c r="V145" s="10"/>
      <c r="W145" s="10"/>
      <c r="X145" s="10"/>
      <c r="Y145" s="207"/>
      <c r="Z145" s="10"/>
      <c r="AA145" s="10"/>
      <c r="AB145" s="10"/>
      <c r="AC145" s="10"/>
      <c r="AD145" s="10"/>
      <c r="AE145" s="10"/>
      <c r="AF145" s="10"/>
      <c r="AG145" s="10"/>
      <c r="AH145" s="10"/>
      <c r="AI145" s="10"/>
      <c r="AJ145" s="10"/>
      <c r="AK145" s="10"/>
      <c r="AL145" s="10"/>
      <c r="AM145" s="10"/>
    </row>
    <row r="146" spans="2:39">
      <c r="B146" s="4"/>
      <c r="C146" s="4"/>
      <c r="E146" s="129"/>
      <c r="F146" s="4"/>
      <c r="G146" s="10"/>
      <c r="H146" s="10"/>
      <c r="I146" s="10"/>
      <c r="J146" s="10"/>
      <c r="K146" s="10"/>
      <c r="L146" s="10"/>
      <c r="M146" s="10"/>
      <c r="N146" s="10"/>
      <c r="O146" s="204"/>
      <c r="P146" s="10"/>
      <c r="Q146" s="10"/>
      <c r="R146" s="10"/>
      <c r="S146" s="10"/>
      <c r="T146" s="204"/>
      <c r="U146" s="10"/>
      <c r="V146" s="10"/>
      <c r="W146" s="10"/>
      <c r="X146" s="10"/>
      <c r="Y146" s="207"/>
      <c r="Z146" s="10"/>
      <c r="AA146" s="10"/>
      <c r="AB146" s="10"/>
      <c r="AC146" s="10"/>
      <c r="AD146" s="10"/>
      <c r="AE146" s="10"/>
      <c r="AF146" s="10"/>
      <c r="AG146" s="10"/>
      <c r="AH146" s="10"/>
      <c r="AI146" s="10"/>
      <c r="AJ146" s="10"/>
      <c r="AK146" s="10"/>
      <c r="AL146" s="10"/>
      <c r="AM146" s="1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B9" s="19" t="s">
        <v>37</v>
      </c>
      <c r="C9" s="18" t="str">
        <f>[3]AGR!B36</f>
        <v>AH</v>
      </c>
      <c r="D9" s="18" t="str">
        <f>[3]AGR!A36</f>
        <v>Agriculture - Heating</v>
      </c>
      <c r="E9" s="19" t="s">
        <v>38</v>
      </c>
      <c r="F9" s="19" t="s">
        <v>39</v>
      </c>
    </row>
    <row r="10" spans="1:8">
      <c r="B10" s="19" t="s">
        <v>37</v>
      </c>
      <c r="C10" s="18" t="str">
        <f>[3]AGR!B37</f>
        <v>AP</v>
      </c>
      <c r="D10" s="18" t="str">
        <f>[3]AGR!A37</f>
        <v>Agriculture - Processing</v>
      </c>
      <c r="E10" s="19" t="s">
        <v>38</v>
      </c>
      <c r="F10" s="19" t="s">
        <v>39</v>
      </c>
    </row>
    <row r="11" spans="1:8">
      <c r="B11" s="19" t="s">
        <v>37</v>
      </c>
      <c r="C11" s="18" t="str">
        <f>[3]AGR!B38</f>
        <v>AT</v>
      </c>
      <c r="D11" s="18" t="str">
        <f>[3]AGR!A38</f>
        <v>Agriculture - Traction</v>
      </c>
      <c r="E11" s="19" t="s">
        <v>38</v>
      </c>
      <c r="F11" s="19" t="s">
        <v>98</v>
      </c>
    </row>
    <row r="12" spans="1:8">
      <c r="B12" s="19" t="s">
        <v>37</v>
      </c>
      <c r="C12" s="18" t="str">
        <f>[3]AGR!B39</f>
        <v>AI</v>
      </c>
      <c r="D12" s="18" t="str">
        <f>[3]AGR!A39</f>
        <v>Agriculture - Irrigation</v>
      </c>
      <c r="E12" s="19" t="s">
        <v>38</v>
      </c>
      <c r="F12" s="19" t="s">
        <v>39</v>
      </c>
    </row>
    <row r="13" spans="1:8">
      <c r="B13" s="19" t="s">
        <v>37</v>
      </c>
      <c r="C13" s="18" t="str">
        <f>[3]AGR!B40</f>
        <v>AO</v>
      </c>
      <c r="D13" s="18" t="str">
        <f>[3]AGR!A40</f>
        <v>Agriculture - Other</v>
      </c>
      <c r="E13" s="19" t="s">
        <v>38</v>
      </c>
      <c r="F13" s="19"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workbookViewId="0"/>
  </sheetViews>
  <sheetFormatPr defaultColWidth="9.140625" defaultRowHeight="15"/>
  <cols>
    <col min="1" max="1" width="9.140625" style="4"/>
    <col min="2" max="2" width="13.140625" style="4" customWidth="1"/>
    <col min="3" max="3" width="25.42578125" style="4" customWidth="1"/>
    <col min="4" max="4" width="21.85546875" style="4" customWidth="1"/>
    <col min="5" max="16384" width="9.140625" style="4"/>
  </cols>
  <sheetData>
    <row r="1" spans="1:48">
      <c r="A1" s="4" t="str">
        <f>IF(AGR,"TS DATA","")</f>
        <v>TS DATA</v>
      </c>
      <c r="B1" s="4" t="s">
        <v>17</v>
      </c>
    </row>
    <row r="2" spans="1:48" ht="15.75" thickBot="1">
      <c r="A2" s="4" t="s">
        <v>16</v>
      </c>
      <c r="B2" s="325" t="s">
        <v>197</v>
      </c>
      <c r="C2" s="325"/>
    </row>
    <row r="3" spans="1:48">
      <c r="A3" s="4" t="s">
        <v>16</v>
      </c>
    </row>
    <row r="4" spans="1:48" ht="15.75" thickBot="1">
      <c r="A4" s="4" t="s">
        <v>16</v>
      </c>
      <c r="B4" s="325" t="s">
        <v>11</v>
      </c>
      <c r="C4" s="325"/>
      <c r="D4" s="56"/>
      <c r="E4" s="14"/>
      <c r="F4" s="14"/>
      <c r="G4" s="14"/>
      <c r="H4" s="14"/>
      <c r="I4" s="14"/>
      <c r="K4" s="4">
        <v>2012</v>
      </c>
      <c r="L4" s="4">
        <v>2013</v>
      </c>
      <c r="M4" s="4">
        <v>2014</v>
      </c>
      <c r="N4" s="4">
        <v>2015</v>
      </c>
      <c r="O4" s="4">
        <v>2016</v>
      </c>
      <c r="P4" s="4">
        <v>2017</v>
      </c>
      <c r="Q4" s="4">
        <v>2018</v>
      </c>
      <c r="R4" s="4">
        <v>2019</v>
      </c>
      <c r="S4" s="4">
        <v>2020</v>
      </c>
      <c r="T4" s="4">
        <v>2021</v>
      </c>
      <c r="U4" s="4">
        <v>2022</v>
      </c>
      <c r="V4" s="4">
        <v>2023</v>
      </c>
      <c r="W4" s="4">
        <v>2024</v>
      </c>
      <c r="X4" s="4">
        <v>2025</v>
      </c>
      <c r="Y4" s="4">
        <v>2026</v>
      </c>
      <c r="Z4" s="4">
        <v>2027</v>
      </c>
      <c r="AA4" s="4">
        <v>2028</v>
      </c>
      <c r="AB4" s="4">
        <v>2029</v>
      </c>
      <c r="AC4" s="4">
        <v>2030</v>
      </c>
      <c r="AD4" s="4">
        <v>2031</v>
      </c>
      <c r="AE4" s="4">
        <v>2032</v>
      </c>
      <c r="AF4" s="4">
        <v>2033</v>
      </c>
      <c r="AG4" s="4">
        <v>2034</v>
      </c>
      <c r="AH4" s="4">
        <v>2035</v>
      </c>
      <c r="AI4" s="4">
        <v>2036</v>
      </c>
      <c r="AJ4" s="4">
        <v>2037</v>
      </c>
      <c r="AK4" s="4">
        <v>2038</v>
      </c>
      <c r="AL4" s="4">
        <v>2039</v>
      </c>
      <c r="AM4" s="4">
        <v>2040</v>
      </c>
      <c r="AN4" s="4">
        <v>2045</v>
      </c>
      <c r="AO4" s="4">
        <v>2050</v>
      </c>
      <c r="AP4" s="4">
        <v>2060</v>
      </c>
    </row>
    <row r="5" spans="1:48">
      <c r="A5" s="4" t="s">
        <v>16</v>
      </c>
      <c r="B5" s="4" t="s">
        <v>9</v>
      </c>
      <c r="C5" s="4" t="s">
        <v>10</v>
      </c>
      <c r="D5" s="4" t="s">
        <v>280</v>
      </c>
    </row>
    <row r="6" spans="1:48">
      <c r="A6" s="4" t="s">
        <v>16</v>
      </c>
      <c r="B6" s="25" t="s">
        <v>138</v>
      </c>
      <c r="C6" s="4" t="s">
        <v>1</v>
      </c>
      <c r="D6" s="4">
        <f>MATCH(B6,Drivers!A7:A22,0)</f>
        <v>1</v>
      </c>
      <c r="J6" s="8"/>
      <c r="K6" s="126">
        <f>INDEX(Drivers!$C$7:$AG$22,$D$6,MATCH(K$4,Drivers!$C$5:$AG$5,0))</f>
        <v>69.819999999999993</v>
      </c>
      <c r="L6" s="126">
        <f>INDEX(Drivers!$C$7:$AG$22,$D$6,MATCH(L$4,Drivers!$C$5:$AG$5,0))</f>
        <v>72.77</v>
      </c>
      <c r="M6" s="126">
        <f>INDEX(Drivers!$C$7:$AG$22,$D$6,MATCH(M$4,Drivers!$C$5:$AG$5,0))</f>
        <v>75.510000000000005</v>
      </c>
      <c r="N6" s="126">
        <f>INDEX(Drivers!$C$7:$AG$22,$D$6,MATCH(N$4,Drivers!$C$5:$AG$5,0))</f>
        <v>74.36</v>
      </c>
      <c r="O6" s="126">
        <f>INDEX(Drivers!$C$7:$AG$22,$D$6,MATCH(O$4,Drivers!$C$5:$AG$5,0))</f>
        <v>73.55</v>
      </c>
      <c r="P6" s="126">
        <f>INDEX(Drivers!$C$7:$AG$22,$D$6,MATCH(P$4,Drivers!$C$5:$AG$5,0))</f>
        <v>76</v>
      </c>
      <c r="Q6" s="126">
        <f>INDEX(Drivers!$C$7:$AG$22,$D$6,MATCH(Q$4,Drivers!$C$5:$AG$5,0))</f>
        <v>74.78</v>
      </c>
      <c r="R6" s="126">
        <f>INDEX(Drivers!$C$7:$AG$22,$D$6,MATCH(R$4,Drivers!$C$5:$AG$5,0))</f>
        <v>73.53</v>
      </c>
      <c r="S6" s="126">
        <f>INDEX(Drivers!$C$7:$AG$22,$D$6,MATCH(S$4,Drivers!$C$5:$AG$5,0))</f>
        <v>70.959999999999994</v>
      </c>
      <c r="T6" s="126">
        <f>INDEX(Drivers!$C$7:$AG$22,$D$6,MATCH(T$4,Drivers!$C$5:$AG$5,0))</f>
        <v>72.959999999999994</v>
      </c>
      <c r="U6" s="126">
        <f>INDEX(Drivers!$C$7:$AG$22,$D$6,MATCH(U$4,Drivers!$C$5:$AG$5,0))</f>
        <v>75</v>
      </c>
      <c r="V6" s="126">
        <f>INDEX(Drivers!$C$7:$AG$22,$D$6,MATCH(V$4,Drivers!$C$5:$AG$5,0))</f>
        <v>76.52</v>
      </c>
      <c r="W6" s="126">
        <f>INDEX(Drivers!$C$7:$AG$22,$D$6,MATCH(W$4,Drivers!$C$5:$AG$5,0))</f>
        <v>77.900000000000006</v>
      </c>
      <c r="X6" s="126">
        <f>INDEX(Drivers!$C$7:$AG$22,$D$6,MATCH(X$4,Drivers!$C$5:$AG$5,0))</f>
        <v>79.13</v>
      </c>
      <c r="Y6" s="126">
        <f>INDEX(Drivers!$C$7:$AG$22,$D$6,MATCH(Y$4,Drivers!$C$5:$AG$5,0))</f>
        <v>81.150000000000006</v>
      </c>
      <c r="Z6" s="126">
        <f>INDEX(Drivers!$C$7:$AG$22,$D$6,MATCH(Z$4,Drivers!$C$5:$AG$5,0))</f>
        <v>83.06</v>
      </c>
      <c r="AA6" s="126">
        <f>INDEX(Drivers!$C$7:$AG$22,$D$6,MATCH(AA$4,Drivers!$C$5:$AG$5,0))</f>
        <v>85</v>
      </c>
      <c r="AB6" s="126">
        <f>INDEX(Drivers!$C$7:$AG$22,$D$6,MATCH(AB$4,Drivers!$C$5:$AG$5,0))</f>
        <v>86.79</v>
      </c>
      <c r="AC6" s="126">
        <f>INDEX(Drivers!$C$7:$AG$22,$D$6,MATCH(AC$4,Drivers!$C$5:$AG$5,0))</f>
        <v>88.61</v>
      </c>
      <c r="AD6" s="126">
        <f>INDEX(Drivers!$C$7:$AG$22,$D$6,MATCH(AD$4,Drivers!$C$5:$AG$5,0))</f>
        <v>90.52</v>
      </c>
      <c r="AE6" s="126">
        <f>INDEX(Drivers!$C$7:$AG$22,$D$6,MATCH(AE$4,Drivers!$C$5:$AG$5,0))</f>
        <v>92.22</v>
      </c>
      <c r="AF6" s="126">
        <f>INDEX(Drivers!$C$7:$AG$22,$D$6,MATCH(AF$4,Drivers!$C$5:$AG$5,0))</f>
        <v>94</v>
      </c>
      <c r="AG6" s="126">
        <f>INDEX(Drivers!$C$7:$AG$22,$D$6,MATCH(AG$4,Drivers!$C$5:$AG$5,0))</f>
        <v>95.83</v>
      </c>
      <c r="AH6" s="126">
        <f>INDEX(Drivers!$C$7:$AG$22,$D$6,MATCH(AH$4,Drivers!$C$5:$AG$5,0))</f>
        <v>97.69</v>
      </c>
      <c r="AI6" s="126">
        <f>INDEX(Drivers!$C$7:$AG$22,$D$6,MATCH(AI$4,Drivers!$C$5:$AG$5,0))</f>
        <v>99.72</v>
      </c>
      <c r="AJ6" s="126">
        <f>INDEX(Drivers!$C$7:$AG$22,$D$6,MATCH(AJ$4,Drivers!$C$5:$AG$5,0))</f>
        <v>101.85</v>
      </c>
      <c r="AK6" s="126">
        <f>INDEX(Drivers!$C$7:$AG$22,$D$6,MATCH(AK$4,Drivers!$C$5:$AG$5,0))</f>
        <v>104.02</v>
      </c>
      <c r="AL6" s="126">
        <f>INDEX(Drivers!$C$7:$AG$22,$D$6,MATCH(AL$4,Drivers!$C$5:$AG$5,0))</f>
        <v>106.26</v>
      </c>
      <c r="AM6" s="126">
        <f>INDEX(Drivers!$C$7:$AG$22,$D$6,MATCH(AM$4,Drivers!$C$5:$AG$5,0))</f>
        <v>108.6</v>
      </c>
      <c r="AN6" s="126">
        <f>INDEX(Drivers!$C$7:$AG$22,$D$6,MATCH(AN$4,Drivers!$C$5:$AG$5,0))</f>
        <v>120.7</v>
      </c>
      <c r="AO6" s="126">
        <f>INDEX(Drivers!$C$7:$AG$22,$D$6,MATCH(AO$4,Drivers!$C$5:$AG$5,0))</f>
        <v>136.25</v>
      </c>
      <c r="AP6" s="126">
        <f>AO6</f>
        <v>136.25</v>
      </c>
      <c r="AQ6" s="126"/>
      <c r="AR6" s="126"/>
      <c r="AS6" s="24"/>
      <c r="AT6" s="24"/>
      <c r="AU6" s="24"/>
      <c r="AV6" s="24"/>
    </row>
    <row r="7" spans="1:48">
      <c r="A7" s="4" t="s">
        <v>16</v>
      </c>
      <c r="B7" s="25"/>
    </row>
    <row r="8" spans="1:48" ht="15.75" thickBot="1">
      <c r="A8" s="4" t="s">
        <v>16</v>
      </c>
      <c r="B8" s="325" t="s">
        <v>285</v>
      </c>
      <c r="C8" s="325"/>
    </row>
    <row r="9" spans="1:48">
      <c r="A9" s="4" t="s">
        <v>16</v>
      </c>
      <c r="B9" s="4" t="str">
        <f>[3]AGR!$B28</f>
        <v>AH</v>
      </c>
      <c r="C9" s="4" t="str">
        <f>[3]AGR!$A36</f>
        <v>Agriculture - Heating</v>
      </c>
    </row>
    <row r="10" spans="1:48">
      <c r="A10" s="4" t="s">
        <v>16</v>
      </c>
      <c r="B10" s="4" t="str">
        <f>[3]AGR!$B29</f>
        <v>AP</v>
      </c>
      <c r="C10" s="4" t="str">
        <f>[3]AGR!$A37</f>
        <v>Agriculture - Processing</v>
      </c>
    </row>
    <row r="11" spans="1:48">
      <c r="A11" s="4" t="s">
        <v>16</v>
      </c>
      <c r="B11" s="4" t="str">
        <f>[3]AGR!$B30</f>
        <v>AT</v>
      </c>
      <c r="C11" s="4" t="str">
        <f>[3]AGR!$A38</f>
        <v>Agriculture - Traction</v>
      </c>
    </row>
    <row r="12" spans="1:48">
      <c r="A12" s="4" t="s">
        <v>16</v>
      </c>
      <c r="B12" s="4" t="str">
        <f>[3]AGR!$B31</f>
        <v>AI</v>
      </c>
      <c r="C12" s="4" t="str">
        <f>[3]AGR!$A39</f>
        <v>Agriculture - Irrigation</v>
      </c>
    </row>
    <row r="13" spans="1:48">
      <c r="A13" s="4" t="s">
        <v>16</v>
      </c>
      <c r="B13" s="4" t="str">
        <f>[3]AGR!$B32</f>
        <v>AO</v>
      </c>
      <c r="C13" s="4" t="str">
        <f>[3]AGR!$A40</f>
        <v>Agriculture - Other</v>
      </c>
    </row>
    <row r="14" spans="1:48">
      <c r="A14" s="4" t="s">
        <v>16</v>
      </c>
      <c r="B14" s="25"/>
    </row>
    <row r="15" spans="1:48">
      <c r="A15" s="4" t="s">
        <v>16</v>
      </c>
      <c r="B15" s="25"/>
    </row>
    <row r="16" spans="1:48" ht="15.75" thickBot="1">
      <c r="A16" s="4" t="s">
        <v>16</v>
      </c>
      <c r="B16" s="325" t="s">
        <v>12</v>
      </c>
      <c r="C16" s="325"/>
      <c r="D16" s="9">
        <v>2010</v>
      </c>
      <c r="E16" s="9">
        <v>2020</v>
      </c>
      <c r="F16" s="15">
        <v>2030</v>
      </c>
      <c r="G16" s="15">
        <v>2050</v>
      </c>
    </row>
    <row r="17" spans="1:48">
      <c r="A17" s="4" t="s">
        <v>16</v>
      </c>
      <c r="B17" s="25" t="str">
        <f>B6</f>
        <v>AGR</v>
      </c>
      <c r="C17" s="4" t="str">
        <f>C6</f>
        <v>Agriculture</v>
      </c>
      <c r="D17" s="4">
        <v>1</v>
      </c>
      <c r="E17" s="4">
        <v>1</v>
      </c>
      <c r="F17" s="4">
        <v>1</v>
      </c>
      <c r="G17" s="4">
        <v>1</v>
      </c>
      <c r="J17" s="4">
        <f>D17</f>
        <v>1</v>
      </c>
      <c r="K17" s="4">
        <f>J17</f>
        <v>1</v>
      </c>
      <c r="L17" s="4">
        <f t="shared" ref="L17:AP17" si="0">K17</f>
        <v>1</v>
      </c>
      <c r="M17" s="4">
        <f t="shared" si="0"/>
        <v>1</v>
      </c>
      <c r="N17" s="4">
        <f t="shared" si="0"/>
        <v>1</v>
      </c>
      <c r="O17" s="4">
        <f t="shared" si="0"/>
        <v>1</v>
      </c>
      <c r="P17" s="4">
        <f t="shared" si="0"/>
        <v>1</v>
      </c>
      <c r="Q17" s="4">
        <f t="shared" si="0"/>
        <v>1</v>
      </c>
      <c r="R17" s="4">
        <f t="shared" si="0"/>
        <v>1</v>
      </c>
      <c r="S17" s="4">
        <f t="shared" si="0"/>
        <v>1</v>
      </c>
      <c r="T17" s="4">
        <f t="shared" si="0"/>
        <v>1</v>
      </c>
      <c r="U17" s="4">
        <f t="shared" si="0"/>
        <v>1</v>
      </c>
      <c r="V17" s="4">
        <f t="shared" si="0"/>
        <v>1</v>
      </c>
      <c r="W17" s="4">
        <f t="shared" si="0"/>
        <v>1</v>
      </c>
      <c r="X17" s="4">
        <f t="shared" si="0"/>
        <v>1</v>
      </c>
      <c r="Y17" s="4">
        <f t="shared" si="0"/>
        <v>1</v>
      </c>
      <c r="Z17" s="4">
        <f t="shared" si="0"/>
        <v>1</v>
      </c>
      <c r="AA17" s="4">
        <f t="shared" si="0"/>
        <v>1</v>
      </c>
      <c r="AB17" s="4">
        <f t="shared" si="0"/>
        <v>1</v>
      </c>
      <c r="AC17" s="4">
        <f t="shared" si="0"/>
        <v>1</v>
      </c>
      <c r="AD17" s="4">
        <f t="shared" si="0"/>
        <v>1</v>
      </c>
      <c r="AE17" s="4">
        <f t="shared" si="0"/>
        <v>1</v>
      </c>
      <c r="AF17" s="4">
        <f t="shared" si="0"/>
        <v>1</v>
      </c>
      <c r="AG17" s="4">
        <f t="shared" si="0"/>
        <v>1</v>
      </c>
      <c r="AH17" s="4">
        <f t="shared" si="0"/>
        <v>1</v>
      </c>
      <c r="AI17" s="4">
        <f t="shared" si="0"/>
        <v>1</v>
      </c>
      <c r="AJ17" s="4">
        <f t="shared" si="0"/>
        <v>1</v>
      </c>
      <c r="AK17" s="4">
        <f t="shared" si="0"/>
        <v>1</v>
      </c>
      <c r="AL17" s="4">
        <f t="shared" si="0"/>
        <v>1</v>
      </c>
      <c r="AM17" s="4">
        <f t="shared" si="0"/>
        <v>1</v>
      </c>
      <c r="AN17" s="4">
        <f t="shared" si="0"/>
        <v>1</v>
      </c>
      <c r="AO17" s="4">
        <f t="shared" si="0"/>
        <v>1</v>
      </c>
      <c r="AP17" s="4">
        <f t="shared" si="0"/>
        <v>1</v>
      </c>
    </row>
    <row r="18" spans="1:48">
      <c r="A18" s="4" t="s">
        <v>16</v>
      </c>
      <c r="B18" s="21"/>
    </row>
    <row r="19" spans="1:48">
      <c r="A19" s="4" t="s">
        <v>16</v>
      </c>
      <c r="B19" s="21"/>
    </row>
    <row r="20" spans="1:48">
      <c r="A20" s="4" t="s">
        <v>16</v>
      </c>
    </row>
    <row r="21" spans="1:48" ht="23.25">
      <c r="A21" s="4" t="s">
        <v>16</v>
      </c>
      <c r="B21" s="16" t="s">
        <v>18</v>
      </c>
      <c r="C21" s="16" t="s">
        <v>19</v>
      </c>
      <c r="D21" s="16" t="s">
        <v>20</v>
      </c>
      <c r="E21" s="16" t="s">
        <v>21</v>
      </c>
      <c r="F21" s="16" t="s">
        <v>22</v>
      </c>
      <c r="G21" s="16" t="s">
        <v>23</v>
      </c>
      <c r="H21" s="16" t="s">
        <v>24</v>
      </c>
      <c r="I21" s="17" t="s">
        <v>25</v>
      </c>
      <c r="J21" s="15">
        <v>2012</v>
      </c>
      <c r="K21" s="15">
        <v>2013</v>
      </c>
      <c r="L21" s="15">
        <v>2014</v>
      </c>
      <c r="M21" s="15">
        <v>2015</v>
      </c>
      <c r="N21" s="15">
        <v>2016</v>
      </c>
      <c r="O21" s="15">
        <v>2017</v>
      </c>
      <c r="P21" s="15">
        <v>2018</v>
      </c>
      <c r="Q21" s="15">
        <v>2019</v>
      </c>
      <c r="R21" s="15">
        <v>2020</v>
      </c>
      <c r="S21" s="15">
        <v>2021</v>
      </c>
      <c r="T21" s="15">
        <v>2022</v>
      </c>
      <c r="U21" s="15">
        <v>2023</v>
      </c>
      <c r="V21" s="15">
        <v>2024</v>
      </c>
      <c r="W21" s="15">
        <v>2025</v>
      </c>
      <c r="X21" s="15">
        <v>2026</v>
      </c>
      <c r="Y21" s="15">
        <v>2027</v>
      </c>
      <c r="Z21" s="15">
        <v>2028</v>
      </c>
      <c r="AA21" s="15">
        <v>2029</v>
      </c>
      <c r="AB21" s="15">
        <v>2030</v>
      </c>
      <c r="AC21" s="15">
        <v>2031</v>
      </c>
      <c r="AD21" s="15">
        <v>2032</v>
      </c>
      <c r="AE21" s="15">
        <v>2033</v>
      </c>
      <c r="AF21" s="15">
        <v>2034</v>
      </c>
      <c r="AG21" s="15">
        <v>2035</v>
      </c>
      <c r="AH21" s="15">
        <v>2036</v>
      </c>
      <c r="AI21" s="15">
        <v>2037</v>
      </c>
      <c r="AJ21" s="15">
        <v>2038</v>
      </c>
      <c r="AK21" s="15">
        <v>2039</v>
      </c>
      <c r="AL21" s="15">
        <v>2040</v>
      </c>
      <c r="AM21" s="15">
        <v>2045</v>
      </c>
      <c r="AN21" s="15">
        <v>2050</v>
      </c>
      <c r="AO21" s="15">
        <v>2060</v>
      </c>
      <c r="AP21" s="15">
        <v>2070</v>
      </c>
      <c r="AQ21" s="15"/>
      <c r="AR21" s="15"/>
      <c r="AS21" s="15"/>
      <c r="AT21" s="15"/>
      <c r="AU21" s="15"/>
      <c r="AV21" s="15"/>
    </row>
    <row r="22" spans="1:48">
      <c r="A22" s="4" t="str">
        <f>IF('[3]TS BYDem'!$A10="*","*", "")</f>
        <v/>
      </c>
      <c r="B22" s="22" t="str">
        <f>IF(A22="*","","COM_PROJ")</f>
        <v>COM_PROJ</v>
      </c>
      <c r="C22" s="23" t="str">
        <f>IF($A22="*","","-")</f>
        <v>-</v>
      </c>
      <c r="D22" s="22" t="str">
        <f>AGR!B9</f>
        <v>AH</v>
      </c>
      <c r="E22" s="23" t="str">
        <f t="shared" ref="E22:H26" si="1">IF($A22="*","","-")</f>
        <v>-</v>
      </c>
      <c r="F22" s="23" t="str">
        <f t="shared" si="1"/>
        <v>-</v>
      </c>
      <c r="G22" s="23" t="str">
        <f t="shared" si="1"/>
        <v>-</v>
      </c>
      <c r="H22" s="23" t="str">
        <f t="shared" si="1"/>
        <v>-</v>
      </c>
      <c r="I22" s="22">
        <f>IF(A22="*","",0)</f>
        <v>0</v>
      </c>
      <c r="J22" s="6">
        <f>'[3]TS BYDem'!$J10</f>
        <v>2.5043970166379772</v>
      </c>
      <c r="K22" s="6">
        <f>L$6/K$6*J22</f>
        <v>2.6102115568711772</v>
      </c>
      <c r="L22" s="6">
        <f t="shared" ref="L22:AP22" si="2">L$6/K$6*K22*L$17</f>
        <v>2.7204969205602345</v>
      </c>
      <c r="M22" s="6">
        <f t="shared" si="2"/>
        <v>2.822931461749393</v>
      </c>
      <c r="N22" s="6">
        <f t="shared" si="2"/>
        <v>2.7799388623451842</v>
      </c>
      <c r="O22" s="6">
        <f t="shared" si="2"/>
        <v>2.7496571184170024</v>
      </c>
      <c r="P22" s="6">
        <f t="shared" si="2"/>
        <v>2.8412500475824909</v>
      </c>
      <c r="Q22" s="6">
        <f t="shared" si="2"/>
        <v>2.7956405073449826</v>
      </c>
      <c r="R22" s="6">
        <f t="shared" si="2"/>
        <v>2.7489094210360601</v>
      </c>
      <c r="S22" s="6">
        <f t="shared" si="2"/>
        <v>2.6528303075849147</v>
      </c>
      <c r="T22" s="6">
        <f t="shared" si="2"/>
        <v>2.7276000456791905</v>
      </c>
      <c r="U22" s="6">
        <f t="shared" si="2"/>
        <v>2.8038651785353523</v>
      </c>
      <c r="V22" s="6">
        <f t="shared" si="2"/>
        <v>2.8606901794870021</v>
      </c>
      <c r="W22" s="6">
        <f t="shared" si="2"/>
        <v>2.9122812987720534</v>
      </c>
      <c r="X22" s="6">
        <f t="shared" si="2"/>
        <v>2.9582646877000327</v>
      </c>
      <c r="Y22" s="6">
        <f t="shared" si="2"/>
        <v>3.0337821231752518</v>
      </c>
      <c r="Z22" s="6">
        <f t="shared" si="2"/>
        <v>3.1051872230552853</v>
      </c>
      <c r="AA22" s="6">
        <f t="shared" si="2"/>
        <v>3.177713869006733</v>
      </c>
      <c r="AB22" s="6">
        <f t="shared" si="2"/>
        <v>3.24463278460111</v>
      </c>
      <c r="AC22" s="6">
        <f t="shared" si="2"/>
        <v>3.3126732462669009</v>
      </c>
      <c r="AD22" s="6">
        <f t="shared" si="2"/>
        <v>3.3840783461469344</v>
      </c>
      <c r="AE22" s="6">
        <f t="shared" si="2"/>
        <v>3.4476326235270696</v>
      </c>
      <c r="AF22" s="6">
        <f t="shared" si="2"/>
        <v>3.5141776904309752</v>
      </c>
      <c r="AG22" s="6">
        <f t="shared" si="2"/>
        <v>3.5825920007872374</v>
      </c>
      <c r="AH22" s="6">
        <f t="shared" si="2"/>
        <v>3.6521278572149143</v>
      </c>
      <c r="AI22" s="6">
        <f t="shared" si="2"/>
        <v>3.7280191413806048</v>
      </c>
      <c r="AJ22" s="6">
        <f t="shared" si="2"/>
        <v>3.8076489124510089</v>
      </c>
      <c r="AK22" s="6">
        <f t="shared" si="2"/>
        <v>3.8887740782832982</v>
      </c>
      <c r="AL22" s="6">
        <f t="shared" si="2"/>
        <v>3.9725161849488879</v>
      </c>
      <c r="AM22" s="6">
        <f t="shared" si="2"/>
        <v>4.0599967785191904</v>
      </c>
      <c r="AN22" s="6">
        <f t="shared" si="2"/>
        <v>4.512353693989561</v>
      </c>
      <c r="AO22" s="6">
        <f t="shared" si="2"/>
        <v>5.0936884076725573</v>
      </c>
      <c r="AP22" s="6">
        <f t="shared" si="2"/>
        <v>5.0936884076725573</v>
      </c>
      <c r="AQ22" s="6"/>
      <c r="AR22" s="6"/>
      <c r="AS22" s="6"/>
      <c r="AT22" s="6"/>
      <c r="AU22" s="6"/>
      <c r="AV22" s="6"/>
    </row>
    <row r="23" spans="1:48">
      <c r="A23" s="4" t="str">
        <f>IF('[3]TS BYDem'!$A11="*","*", "")</f>
        <v/>
      </c>
      <c r="B23" s="22" t="str">
        <f>IF(A23="*","","COM_PROJ")</f>
        <v>COM_PROJ</v>
      </c>
      <c r="C23" s="23" t="str">
        <f>IF($A23="*","","-")</f>
        <v>-</v>
      </c>
      <c r="D23" s="22" t="str">
        <f>AGR!B10</f>
        <v>AP</v>
      </c>
      <c r="E23" s="23" t="str">
        <f t="shared" si="1"/>
        <v>-</v>
      </c>
      <c r="F23" s="23" t="str">
        <f t="shared" si="1"/>
        <v>-</v>
      </c>
      <c r="G23" s="23" t="str">
        <f t="shared" si="1"/>
        <v>-</v>
      </c>
      <c r="H23" s="23" t="str">
        <f t="shared" si="1"/>
        <v>-</v>
      </c>
      <c r="I23" s="22">
        <f>IF(A23="*","",0)</f>
        <v>0</v>
      </c>
      <c r="J23" s="6">
        <f>'[3]TS BYDem'!$J11</f>
        <v>3.8349683201390801</v>
      </c>
      <c r="K23" s="6">
        <f>L$6/K$6*J23</f>
        <v>3.9970014989475917</v>
      </c>
      <c r="L23" s="6">
        <f t="shared" ref="L23:AP23" si="3">L$6/K$6*K23*L$17</f>
        <v>4.1658808232371278</v>
      </c>
      <c r="M23" s="6">
        <f t="shared" si="3"/>
        <v>4.3227382295263919</v>
      </c>
      <c r="N23" s="6">
        <f t="shared" si="3"/>
        <v>4.2569039166677589</v>
      </c>
      <c r="O23" s="6">
        <f t="shared" si="3"/>
        <v>4.2105336615238524</v>
      </c>
      <c r="P23" s="6">
        <f t="shared" si="3"/>
        <v>4.3507893715270267</v>
      </c>
      <c r="Q23" s="6">
        <f t="shared" si="3"/>
        <v>4.280947752668304</v>
      </c>
      <c r="R23" s="6">
        <f t="shared" si="3"/>
        <v>4.2093887169523985</v>
      </c>
      <c r="S23" s="6">
        <f t="shared" si="3"/>
        <v>4.0622633395204968</v>
      </c>
      <c r="T23" s="6">
        <f t="shared" si="3"/>
        <v>4.1767577966659442</v>
      </c>
      <c r="U23" s="6">
        <f t="shared" si="3"/>
        <v>4.2935421429543013</v>
      </c>
      <c r="V23" s="6">
        <f t="shared" si="3"/>
        <v>4.3805579303848416</v>
      </c>
      <c r="W23" s="6">
        <f t="shared" si="3"/>
        <v>4.4595591058152015</v>
      </c>
      <c r="X23" s="6">
        <f t="shared" si="3"/>
        <v>4.5299731969596513</v>
      </c>
      <c r="Y23" s="6">
        <f t="shared" si="3"/>
        <v>4.6456125986765544</v>
      </c>
      <c r="Z23" s="6">
        <f t="shared" si="3"/>
        <v>4.7549548052504571</v>
      </c>
      <c r="AA23" s="6">
        <f t="shared" si="3"/>
        <v>4.8660144286815417</v>
      </c>
      <c r="AB23" s="6">
        <f t="shared" si="3"/>
        <v>4.9684869678267178</v>
      </c>
      <c r="AC23" s="6">
        <f t="shared" si="3"/>
        <v>5.072676923829075</v>
      </c>
      <c r="AD23" s="6">
        <f t="shared" si="3"/>
        <v>5.1820191304029777</v>
      </c>
      <c r="AE23" s="6">
        <f t="shared" si="3"/>
        <v>5.2793394189766092</v>
      </c>
      <c r="AF23" s="6">
        <f t="shared" si="3"/>
        <v>5.3812394858360575</v>
      </c>
      <c r="AG23" s="6">
        <f t="shared" si="3"/>
        <v>5.4860019141241416</v>
      </c>
      <c r="AH23" s="6">
        <f t="shared" si="3"/>
        <v>5.5924817592694085</v>
      </c>
      <c r="AI23" s="6">
        <f t="shared" si="3"/>
        <v>5.7086936332720386</v>
      </c>
      <c r="AJ23" s="6">
        <f t="shared" si="3"/>
        <v>5.8306302301319404</v>
      </c>
      <c r="AK23" s="6">
        <f t="shared" si="3"/>
        <v>5.954856716134751</v>
      </c>
      <c r="AL23" s="6">
        <f t="shared" si="3"/>
        <v>6.0830905081376532</v>
      </c>
      <c r="AM23" s="6">
        <f t="shared" si="3"/>
        <v>6.2170490229978261</v>
      </c>
      <c r="AN23" s="6">
        <f t="shared" si="3"/>
        <v>6.9097404887277865</v>
      </c>
      <c r="AO23" s="6">
        <f t="shared" si="3"/>
        <v>7.7999348930336438</v>
      </c>
      <c r="AP23" s="6">
        <f t="shared" si="3"/>
        <v>7.7999348930336438</v>
      </c>
      <c r="AQ23" s="6"/>
      <c r="AR23" s="6"/>
      <c r="AS23" s="6"/>
      <c r="AT23" s="6"/>
      <c r="AU23" s="6"/>
      <c r="AV23" s="6"/>
    </row>
    <row r="24" spans="1:48">
      <c r="A24" s="4" t="str">
        <f>IF('[3]TS BYDem'!$A12="*","*", "")</f>
        <v/>
      </c>
      <c r="B24" s="22" t="str">
        <f>IF(A24="*","","COM_PROJ")</f>
        <v>COM_PROJ</v>
      </c>
      <c r="C24" s="23" t="str">
        <f>IF($A24="*","","-")</f>
        <v>-</v>
      </c>
      <c r="D24" s="22" t="str">
        <f>AGR!B11</f>
        <v>AT</v>
      </c>
      <c r="E24" s="23" t="str">
        <f t="shared" si="1"/>
        <v>-</v>
      </c>
      <c r="F24" s="23" t="str">
        <f t="shared" si="1"/>
        <v>-</v>
      </c>
      <c r="G24" s="23" t="str">
        <f t="shared" si="1"/>
        <v>-</v>
      </c>
      <c r="H24" s="23" t="str">
        <f t="shared" si="1"/>
        <v>-</v>
      </c>
      <c r="I24" s="22">
        <f>IF(A24="*","",0)</f>
        <v>0</v>
      </c>
      <c r="J24" s="6">
        <f>'[3]TS BYDem'!$J12</f>
        <v>14.570390350961301</v>
      </c>
      <c r="K24" s="6">
        <f>L$6/K$6*J24</f>
        <v>15.186011255219906</v>
      </c>
      <c r="L24" s="6">
        <f t="shared" ref="L24:AP24" si="4">L$6/K$6*K24*L$17</f>
        <v>15.827643068495453</v>
      </c>
      <c r="M24" s="6">
        <f t="shared" si="4"/>
        <v>16.423599396758167</v>
      </c>
      <c r="N24" s="6">
        <f t="shared" si="4"/>
        <v>16.173471740735494</v>
      </c>
      <c r="O24" s="6">
        <f t="shared" si="4"/>
        <v>15.997294869971698</v>
      </c>
      <c r="P24" s="6">
        <f t="shared" si="4"/>
        <v>16.53017552845478</v>
      </c>
      <c r="Q24" s="6">
        <f t="shared" si="4"/>
        <v>16.264822710761166</v>
      </c>
      <c r="R24" s="6">
        <f t="shared" si="4"/>
        <v>15.992944823780002</v>
      </c>
      <c r="S24" s="6">
        <f t="shared" si="4"/>
        <v>15.433963888146726</v>
      </c>
      <c r="T24" s="6">
        <f t="shared" si="4"/>
        <v>15.868968507316588</v>
      </c>
      <c r="U24" s="6">
        <f t="shared" si="4"/>
        <v>16.31267321886985</v>
      </c>
      <c r="V24" s="6">
        <f t="shared" si="4"/>
        <v>16.643276729438945</v>
      </c>
      <c r="W24" s="6">
        <f t="shared" si="4"/>
        <v>16.943429916666155</v>
      </c>
      <c r="X24" s="6">
        <f t="shared" si="4"/>
        <v>17.210957757455617</v>
      </c>
      <c r="Y24" s="6">
        <f t="shared" si="4"/>
        <v>17.65031242281718</v>
      </c>
      <c r="Z24" s="6">
        <f t="shared" si="4"/>
        <v>18.065741834124399</v>
      </c>
      <c r="AA24" s="6">
        <f t="shared" si="4"/>
        <v>18.487696314719166</v>
      </c>
      <c r="AB24" s="6">
        <f t="shared" si="4"/>
        <v>18.877025448876193</v>
      </c>
      <c r="AC24" s="6">
        <f t="shared" si="4"/>
        <v>19.272879652320764</v>
      </c>
      <c r="AD24" s="6">
        <f t="shared" si="4"/>
        <v>19.688309063627983</v>
      </c>
      <c r="AE24" s="6">
        <f t="shared" si="4"/>
        <v>20.058062989922369</v>
      </c>
      <c r="AF24" s="6">
        <f t="shared" si="4"/>
        <v>20.445217100983545</v>
      </c>
      <c r="AG24" s="6">
        <f t="shared" si="4"/>
        <v>20.843246327523968</v>
      </c>
      <c r="AH24" s="6">
        <f t="shared" si="4"/>
        <v>21.247800623351939</v>
      </c>
      <c r="AI24" s="6">
        <f t="shared" si="4"/>
        <v>21.68933031180935</v>
      </c>
      <c r="AJ24" s="6">
        <f t="shared" si="4"/>
        <v>22.152610231225253</v>
      </c>
      <c r="AK24" s="6">
        <f t="shared" si="4"/>
        <v>22.624590243024553</v>
      </c>
      <c r="AL24" s="6">
        <f t="shared" si="4"/>
        <v>23.111795416494804</v>
      </c>
      <c r="AM24" s="6">
        <f t="shared" si="4"/>
        <v>23.62075082092354</v>
      </c>
      <c r="AN24" s="6">
        <f t="shared" si="4"/>
        <v>26.252528766901207</v>
      </c>
      <c r="AO24" s="6">
        <f t="shared" si="4"/>
        <v>29.634689680946884</v>
      </c>
      <c r="AP24" s="6">
        <f t="shared" si="4"/>
        <v>29.634689680946884</v>
      </c>
      <c r="AQ24" s="6"/>
      <c r="AR24" s="6"/>
      <c r="AS24" s="6"/>
      <c r="AT24" s="6"/>
      <c r="AU24" s="6"/>
      <c r="AV24" s="6"/>
    </row>
    <row r="25" spans="1:48">
      <c r="A25" s="4" t="str">
        <f>IF('[3]TS BYDem'!$A13="*","*", "")</f>
        <v/>
      </c>
      <c r="B25" s="22" t="str">
        <f>IF(A25="*","","COM_PROJ")</f>
        <v>COM_PROJ</v>
      </c>
      <c r="C25" s="23" t="str">
        <f>IF($A25="*","","-")</f>
        <v>-</v>
      </c>
      <c r="D25" s="22" t="str">
        <f>AGR!B12</f>
        <v>AI</v>
      </c>
      <c r="E25" s="23" t="str">
        <f t="shared" si="1"/>
        <v>-</v>
      </c>
      <c r="F25" s="23" t="str">
        <f t="shared" si="1"/>
        <v>-</v>
      </c>
      <c r="G25" s="23" t="str">
        <f t="shared" si="1"/>
        <v>-</v>
      </c>
      <c r="H25" s="23" t="str">
        <f t="shared" si="1"/>
        <v>-</v>
      </c>
      <c r="I25" s="22">
        <f>IF(A25="*","",0)</f>
        <v>0</v>
      </c>
      <c r="J25" s="6">
        <f>'[3]TS BYDem'!$J13</f>
        <v>5.0203080915278155</v>
      </c>
      <c r="K25" s="6">
        <f>L$6/K$6*J25</f>
        <v>5.23242365827097</v>
      </c>
      <c r="L25" s="6">
        <f t="shared" ref="L25:AP25" si="5">L$6/K$6*K25*L$17</f>
        <v>5.4535014267026423</v>
      </c>
      <c r="M25" s="6">
        <f t="shared" si="5"/>
        <v>5.6588414556866367</v>
      </c>
      <c r="N25" s="6">
        <f t="shared" si="5"/>
        <v>5.5726585968064928</v>
      </c>
      <c r="O25" s="6">
        <f t="shared" si="5"/>
        <v>5.5119558875083046</v>
      </c>
      <c r="P25" s="6">
        <f t="shared" si="5"/>
        <v>5.6955628477312192</v>
      </c>
      <c r="Q25" s="6">
        <f t="shared" si="5"/>
        <v>5.6041340757018503</v>
      </c>
      <c r="R25" s="6">
        <f t="shared" si="5"/>
        <v>5.5104570551799554</v>
      </c>
      <c r="S25" s="6">
        <f t="shared" si="5"/>
        <v>5.317857100986938</v>
      </c>
      <c r="T25" s="6">
        <f t="shared" si="5"/>
        <v>5.4677403338219692</v>
      </c>
      <c r="U25" s="6">
        <f t="shared" si="5"/>
        <v>5.6206212313137023</v>
      </c>
      <c r="V25" s="6">
        <f t="shared" si="5"/>
        <v>5.7345324882683268</v>
      </c>
      <c r="W25" s="6">
        <f t="shared" si="5"/>
        <v>5.8379519189245004</v>
      </c>
      <c r="X25" s="6">
        <f t="shared" si="5"/>
        <v>5.9301301071180443</v>
      </c>
      <c r="Y25" s="6">
        <f t="shared" si="5"/>
        <v>6.0815121722814274</v>
      </c>
      <c r="Z25" s="6">
        <f t="shared" si="5"/>
        <v>6.2246506596388826</v>
      </c>
      <c r="AA25" s="6">
        <f t="shared" si="5"/>
        <v>6.3700373954888629</v>
      </c>
      <c r="AB25" s="6">
        <f t="shared" si="5"/>
        <v>6.5041828888762172</v>
      </c>
      <c r="AC25" s="6">
        <f t="shared" si="5"/>
        <v>6.6405766307560956</v>
      </c>
      <c r="AD25" s="6">
        <f t="shared" si="5"/>
        <v>6.7837151181135518</v>
      </c>
      <c r="AE25" s="6">
        <f t="shared" si="5"/>
        <v>6.9111158660233301</v>
      </c>
      <c r="AF25" s="6">
        <f t="shared" si="5"/>
        <v>7.0445119432465084</v>
      </c>
      <c r="AG25" s="6">
        <f t="shared" si="5"/>
        <v>7.1816551012905618</v>
      </c>
      <c r="AH25" s="6">
        <f t="shared" si="5"/>
        <v>7.3210465078271421</v>
      </c>
      <c r="AI25" s="6">
        <f t="shared" si="5"/>
        <v>7.4731779891547001</v>
      </c>
      <c r="AJ25" s="6">
        <f t="shared" si="5"/>
        <v>7.6328036321240091</v>
      </c>
      <c r="AK25" s="6">
        <f t="shared" si="5"/>
        <v>7.7954269397500182</v>
      </c>
      <c r="AL25" s="6">
        <f t="shared" si="5"/>
        <v>7.963296160525255</v>
      </c>
      <c r="AM25" s="6">
        <f t="shared" si="5"/>
        <v>8.138659542942241</v>
      </c>
      <c r="AN25" s="6">
        <f t="shared" si="5"/>
        <v>9.0454531015941857</v>
      </c>
      <c r="AO25" s="6">
        <f t="shared" si="5"/>
        <v>10.210795236886559</v>
      </c>
      <c r="AP25" s="6">
        <f t="shared" si="5"/>
        <v>10.210795236886559</v>
      </c>
      <c r="AQ25" s="6"/>
      <c r="AR25" s="6"/>
      <c r="AS25" s="6"/>
      <c r="AT25" s="6"/>
      <c r="AU25" s="6"/>
      <c r="AV25" s="6"/>
    </row>
    <row r="26" spans="1:48">
      <c r="A26" s="4" t="str">
        <f>IF('[3]TS BYDem'!$A14="*","*", "")</f>
        <v/>
      </c>
      <c r="B26" s="22" t="str">
        <f>IF(A26="*","","COM_PROJ")</f>
        <v>COM_PROJ</v>
      </c>
      <c r="C26" s="23" t="str">
        <f>IF($A26="*","","-")</f>
        <v>-</v>
      </c>
      <c r="D26" s="22" t="str">
        <f>AGR!B13</f>
        <v>AO</v>
      </c>
      <c r="E26" s="23" t="str">
        <f t="shared" si="1"/>
        <v>-</v>
      </c>
      <c r="F26" s="23" t="str">
        <f t="shared" si="1"/>
        <v>-</v>
      </c>
      <c r="G26" s="23" t="str">
        <f t="shared" si="1"/>
        <v>-</v>
      </c>
      <c r="H26" s="23" t="str">
        <f t="shared" si="1"/>
        <v>-</v>
      </c>
      <c r="I26" s="22">
        <f>IF(A26="*","",0)</f>
        <v>0</v>
      </c>
      <c r="J26" s="6">
        <f>'[3]TS BYDem'!$J14</f>
        <v>8.4310585921569263</v>
      </c>
      <c r="K26" s="6">
        <f>L$6/K$6*J26</f>
        <v>8.7872834968670794</v>
      </c>
      <c r="L26" s="6">
        <f t="shared" ref="L26:AP26" si="6">L$6/K$6*K26*L$17</f>
        <v>9.1585594395161465</v>
      </c>
      <c r="M26" s="6">
        <f t="shared" si="6"/>
        <v>9.5034055692986712</v>
      </c>
      <c r="N26" s="6">
        <f t="shared" si="6"/>
        <v>9.3586708797914078</v>
      </c>
      <c r="O26" s="6">
        <f t="shared" si="6"/>
        <v>9.2567273158775958</v>
      </c>
      <c r="P26" s="6">
        <f t="shared" si="6"/>
        <v>9.5650751326539414</v>
      </c>
      <c r="Q26" s="6">
        <f t="shared" si="6"/>
        <v>9.4115305055244978</v>
      </c>
      <c r="R26" s="6">
        <f t="shared" si="6"/>
        <v>9.2542101908426897</v>
      </c>
      <c r="S26" s="6">
        <f t="shared" si="6"/>
        <v>8.9307596238568898</v>
      </c>
      <c r="T26" s="6">
        <f t="shared" si="6"/>
        <v>9.1824721273477827</v>
      </c>
      <c r="U26" s="6">
        <f t="shared" si="6"/>
        <v>9.4392188809084949</v>
      </c>
      <c r="V26" s="6">
        <f t="shared" si="6"/>
        <v>9.6305203835615742</v>
      </c>
      <c r="W26" s="6">
        <f t="shared" si="6"/>
        <v>9.8042020109702932</v>
      </c>
      <c r="X26" s="6">
        <f t="shared" si="6"/>
        <v>9.9590052006171916</v>
      </c>
      <c r="Y26" s="6">
        <f t="shared" si="6"/>
        <v>10.213234829142994</v>
      </c>
      <c r="Z26" s="6">
        <f t="shared" si="6"/>
        <v>10.453620269976797</v>
      </c>
      <c r="AA26" s="6">
        <f t="shared" si="6"/>
        <v>10.697781398362963</v>
      </c>
      <c r="AB26" s="6">
        <f t="shared" si="6"/>
        <v>10.923064088987314</v>
      </c>
      <c r="AC26" s="6">
        <f t="shared" si="6"/>
        <v>11.152122467164025</v>
      </c>
      <c r="AD26" s="6">
        <f t="shared" si="6"/>
        <v>11.392507907997828</v>
      </c>
      <c r="AE26" s="6">
        <f t="shared" si="6"/>
        <v>11.606463535965089</v>
      </c>
      <c r="AF26" s="6">
        <f t="shared" si="6"/>
        <v>11.830487664071983</v>
      </c>
      <c r="AG26" s="6">
        <f t="shared" si="6"/>
        <v>12.060804604766149</v>
      </c>
      <c r="AH26" s="6">
        <f t="shared" si="6"/>
        <v>12.29489723301268</v>
      </c>
      <c r="AI26" s="6">
        <f t="shared" si="6"/>
        <v>12.550385424055937</v>
      </c>
      <c r="AJ26" s="6">
        <f t="shared" si="6"/>
        <v>12.818459240273739</v>
      </c>
      <c r="AK26" s="6">
        <f t="shared" si="6"/>
        <v>13.091567306561357</v>
      </c>
      <c r="AL26" s="6">
        <f t="shared" si="6"/>
        <v>13.373485310471159</v>
      </c>
      <c r="AM26" s="6">
        <f t="shared" si="6"/>
        <v>13.667988939555501</v>
      </c>
      <c r="AN26" s="6">
        <f t="shared" si="6"/>
        <v>15.190849585675405</v>
      </c>
      <c r="AO26" s="6">
        <f t="shared" si="6"/>
        <v>17.147914300317098</v>
      </c>
      <c r="AP26" s="6">
        <f t="shared" si="6"/>
        <v>17.147914300317098</v>
      </c>
      <c r="AQ26" s="6"/>
      <c r="AR26" s="6"/>
      <c r="AS26" s="6"/>
      <c r="AT26" s="6"/>
      <c r="AU26" s="6"/>
      <c r="AV26" s="6"/>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4"/>
  <sheetViews>
    <sheetView workbookViewId="0"/>
  </sheetViews>
  <sheetFormatPr defaultColWidth="9" defaultRowHeight="11.25"/>
  <cols>
    <col min="1" max="1" width="12.140625" style="18" customWidth="1"/>
    <col min="2" max="2" width="9" style="18"/>
    <col min="3" max="3" width="10.85546875" style="18" customWidth="1"/>
    <col min="4" max="4" width="27" style="18" customWidth="1"/>
    <col min="5" max="5" width="10" style="18" customWidth="1"/>
    <col min="6" max="6" width="28.140625" style="18" customWidth="1"/>
    <col min="7" max="16384" width="9"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A9" s="27" t="str">
        <f>[4]ITEMS_Comm!A35</f>
        <v>*</v>
      </c>
      <c r="B9" s="19" t="str">
        <f>[4]ITEMS_Comm!B35</f>
        <v>E</v>
      </c>
      <c r="C9" s="27" t="str">
        <f>[4]ITEMS_Comm!C35</f>
        <v/>
      </c>
      <c r="D9" s="27" t="str">
        <f>[4]ITEMS_Comm!D35</f>
        <v/>
      </c>
      <c r="E9" s="19" t="str">
        <f>[4]ITEMS_Comm!E35</f>
        <v>PJ</v>
      </c>
      <c r="F9" s="19" t="str">
        <f>[4]ITEMS_Comm!F35</f>
        <v>COM,NRG,ANNUAL,FOSSIL</v>
      </c>
    </row>
    <row r="10" spans="1:7">
      <c r="A10" s="27" t="str">
        <f>[4]ITEMS_Comm!A36</f>
        <v>*</v>
      </c>
      <c r="B10" s="19" t="str">
        <f>[4]ITEMS_Comm!B36</f>
        <v>Demand Commodities</v>
      </c>
      <c r="C10" s="27">
        <f>[4]ITEMS_Comm!C36</f>
        <v>0</v>
      </c>
      <c r="D10" s="27">
        <f>[4]ITEMS_Comm!D36</f>
        <v>0</v>
      </c>
      <c r="E10" s="19">
        <f>[4]ITEMS_Comm!E36</f>
        <v>0</v>
      </c>
      <c r="F10" s="19">
        <f>[4]ITEMS_Comm!F36</f>
        <v>0</v>
      </c>
    </row>
    <row r="11" spans="1:7">
      <c r="A11" s="27" t="str">
        <f>[4]ITEMS_Comm!A37</f>
        <v/>
      </c>
      <c r="B11" s="19" t="str">
        <f>[4]ITEMS_Comm!B37</f>
        <v>E</v>
      </c>
      <c r="C11" s="27" t="str">
        <f>[4]ITEMS_Comm!C37</f>
        <v>IMIK</v>
      </c>
      <c r="D11" s="27" t="str">
        <f>[4]ITEMS_Comm!D37</f>
        <v>Industry-Mining-Elec Heating - Electricity</v>
      </c>
      <c r="E11" s="19" t="str">
        <f>[4]ITEMS_Comm!E37</f>
        <v>PJ</v>
      </c>
      <c r="F11" s="19" t="str">
        <f>[4]ITEMS_Comm!F37</f>
        <v>COM,DEM,ANNUAL,RES</v>
      </c>
    </row>
    <row r="12" spans="1:7">
      <c r="A12" s="27" t="str">
        <f>[4]ITEMS_Comm!A38</f>
        <v/>
      </c>
      <c r="B12" s="19" t="str">
        <f>[4]ITEMS_Comm!B38</f>
        <v>E</v>
      </c>
      <c r="C12" s="27" t="str">
        <f>[4]ITEMS_Comm!C38</f>
        <v>IMIA</v>
      </c>
      <c r="D12" s="27" t="str">
        <f>[4]ITEMS_Comm!D38</f>
        <v>Industry-Mining-Compressed air - Electricity</v>
      </c>
      <c r="E12" s="19" t="str">
        <f>[4]ITEMS_Comm!E38</f>
        <v>PJ</v>
      </c>
      <c r="F12" s="19" t="str">
        <f>[4]ITEMS_Comm!F38</f>
        <v>COM,DEM,ANNUAL,RES</v>
      </c>
    </row>
    <row r="13" spans="1:7">
      <c r="A13" s="27" t="str">
        <f>[4]ITEMS_Comm!A39</f>
        <v/>
      </c>
      <c r="B13" s="19" t="str">
        <f>[4]ITEMS_Comm!B39</f>
        <v>E</v>
      </c>
      <c r="C13" s="27" t="str">
        <f>[4]ITEMS_Comm!C39</f>
        <v>IMIL</v>
      </c>
      <c r="D13" s="27" t="str">
        <f>[4]ITEMS_Comm!D39</f>
        <v>Industry-Mining-Lighting - Electricity</v>
      </c>
      <c r="E13" s="19" t="str">
        <f>[4]ITEMS_Comm!E39</f>
        <v>PJ</v>
      </c>
      <c r="F13" s="19" t="str">
        <f>[4]ITEMS_Comm!F39</f>
        <v>COM,DEM,ANNUAL,RES</v>
      </c>
    </row>
    <row r="14" spans="1:7">
      <c r="A14" s="27" t="str">
        <f>[4]ITEMS_Comm!A40</f>
        <v/>
      </c>
      <c r="B14" s="19" t="str">
        <f>[4]ITEMS_Comm!B40</f>
        <v>E</v>
      </c>
      <c r="C14" s="27" t="str">
        <f>[4]ITEMS_Comm!C40</f>
        <v>IMIC</v>
      </c>
      <c r="D14" s="27" t="str">
        <f>[4]ITEMS_Comm!D40</f>
        <v>Industry-Mining-Cooling - Electricity</v>
      </c>
      <c r="E14" s="19" t="str">
        <f>[4]ITEMS_Comm!E40</f>
        <v>PJ</v>
      </c>
      <c r="F14" s="19" t="str">
        <f>[4]ITEMS_Comm!F40</f>
        <v>COM,DEM,ANNUAL,RES</v>
      </c>
    </row>
    <row r="15" spans="1:7">
      <c r="A15" s="27" t="str">
        <f>[4]ITEMS_Comm!A41</f>
        <v/>
      </c>
      <c r="B15" s="19" t="str">
        <f>[4]ITEMS_Comm!B41</f>
        <v>E</v>
      </c>
      <c r="C15" s="27" t="str">
        <f>[4]ITEMS_Comm!C41</f>
        <v>IMIH</v>
      </c>
      <c r="D15" s="27" t="str">
        <f>[4]ITEMS_Comm!D41</f>
        <v>Industry-Mining-HVAC - Electricity</v>
      </c>
      <c r="E15" s="19" t="str">
        <f>[4]ITEMS_Comm!E41</f>
        <v>PJ</v>
      </c>
      <c r="F15" s="19" t="str">
        <f>[4]ITEMS_Comm!F41</f>
        <v>COM,DEM,ANNUAL,RES</v>
      </c>
    </row>
    <row r="16" spans="1:7">
      <c r="A16" s="27" t="str">
        <f>[4]ITEMS_Comm!A42</f>
        <v/>
      </c>
      <c r="B16" s="19" t="str">
        <f>[4]ITEMS_Comm!B42</f>
        <v>E</v>
      </c>
      <c r="C16" s="27" t="str">
        <f>[4]ITEMS_Comm!C42</f>
        <v>IMIP</v>
      </c>
      <c r="D16" s="27" t="str">
        <f>[4]ITEMS_Comm!D42</f>
        <v>Industry-Mining-Pumping - Electricity</v>
      </c>
      <c r="E16" s="19" t="str">
        <f>[4]ITEMS_Comm!E42</f>
        <v>PJ</v>
      </c>
      <c r="F16" s="19" t="str">
        <f>[4]ITEMS_Comm!F42</f>
        <v>COM,DEM,ANNUAL,RES</v>
      </c>
    </row>
    <row r="17" spans="1:6">
      <c r="A17" s="27" t="str">
        <f>[4]ITEMS_Comm!A43</f>
        <v/>
      </c>
      <c r="B17" s="19" t="str">
        <f>[4]ITEMS_Comm!B43</f>
        <v>E</v>
      </c>
      <c r="C17" s="27" t="str">
        <f>[4]ITEMS_Comm!C43</f>
        <v>IMIF</v>
      </c>
      <c r="D17" s="27" t="str">
        <f>[4]ITEMS_Comm!D43</f>
        <v>Industry-Mining-Fans - Electricity</v>
      </c>
      <c r="E17" s="19" t="str">
        <f>[4]ITEMS_Comm!E43</f>
        <v>PJ</v>
      </c>
      <c r="F17" s="19" t="str">
        <f>[4]ITEMS_Comm!F43</f>
        <v>COM,DEM,ANNUAL,RES</v>
      </c>
    </row>
    <row r="18" spans="1:6">
      <c r="A18" s="27" t="str">
        <f>[4]ITEMS_Comm!A44</f>
        <v/>
      </c>
      <c r="B18" s="19" t="str">
        <f>[4]ITEMS_Comm!B44</f>
        <v>E</v>
      </c>
      <c r="C18" s="27" t="str">
        <f>[4]ITEMS_Comm!C44</f>
        <v>IMIO</v>
      </c>
      <c r="D18" s="27" t="str">
        <f>[4]ITEMS_Comm!D44</f>
        <v>Industry-Mining-Other motive - Electricity</v>
      </c>
      <c r="E18" s="19" t="str">
        <f>[4]ITEMS_Comm!E44</f>
        <v>PJ</v>
      </c>
      <c r="F18" s="19" t="str">
        <f>[4]ITEMS_Comm!F44</f>
        <v>COM,DEM,ANNUAL,RES</v>
      </c>
    </row>
    <row r="19" spans="1:6">
      <c r="A19" s="27" t="str">
        <f>[4]ITEMS_Comm!A45</f>
        <v/>
      </c>
      <c r="B19" s="19" t="str">
        <f>[4]ITEMS_Comm!B45</f>
        <v>E</v>
      </c>
      <c r="C19" s="27" t="str">
        <f>[4]ITEMS_Comm!C45</f>
        <v>IMIE</v>
      </c>
      <c r="D19" s="27" t="str">
        <f>[4]ITEMS_Comm!D45</f>
        <v>Industry-Mining-Electrochemical - Electricity</v>
      </c>
      <c r="E19" s="19" t="str">
        <f>[4]ITEMS_Comm!E45</f>
        <v>PJ</v>
      </c>
      <c r="F19" s="19" t="str">
        <f>[4]ITEMS_Comm!F45</f>
        <v>COM,DEM,ANNUAL,RES</v>
      </c>
    </row>
    <row r="20" spans="1:6">
      <c r="A20" s="27" t="str">
        <f>[4]ITEMS_Comm!A46</f>
        <v>*</v>
      </c>
      <c r="B20" s="19" t="str">
        <f>[4]ITEMS_Comm!B46</f>
        <v>E</v>
      </c>
      <c r="C20" s="27">
        <f>[4]ITEMS_Comm!C46</f>
        <v>0</v>
      </c>
      <c r="D20" s="27" t="str">
        <f>[4]ITEMS_Comm!D46</f>
        <v/>
      </c>
      <c r="E20" s="19" t="str">
        <f>[4]ITEMS_Comm!E46</f>
        <v>PJ</v>
      </c>
      <c r="F20" s="19" t="str">
        <f>[4]ITEMS_Comm!F46</f>
        <v>COM,DEM,ANNUAL,RES</v>
      </c>
    </row>
    <row r="21" spans="1:6">
      <c r="A21" s="27" t="str">
        <f>[4]ITEMS_Comm!A47</f>
        <v/>
      </c>
      <c r="B21" s="19" t="str">
        <f>[4]ITEMS_Comm!B47</f>
        <v>E</v>
      </c>
      <c r="C21" s="27" t="str">
        <f>[4]ITEMS_Comm!C47</f>
        <v>IMIS</v>
      </c>
      <c r="D21" s="27" t="str">
        <f>[4]ITEMS_Comm!D47</f>
        <v>Industry-Mining-boiler/process heating - Coal - Existing</v>
      </c>
      <c r="E21" s="19" t="str">
        <f>[4]ITEMS_Comm!E47</f>
        <v>PJ</v>
      </c>
      <c r="F21" s="19" t="str">
        <f>[4]ITEMS_Comm!F47</f>
        <v>COM,DEM,ANNUAL,RES</v>
      </c>
    </row>
    <row r="22" spans="1:6">
      <c r="A22" s="27" t="str">
        <f>[4]ITEMS_Comm!A48</f>
        <v/>
      </c>
      <c r="B22" s="19" t="str">
        <f>[4]ITEMS_Comm!B48</f>
        <v>E</v>
      </c>
      <c r="C22" s="27" t="str">
        <f>[4]ITEMS_Comm!C48</f>
        <v>IMIS</v>
      </c>
      <c r="D22" s="27" t="str">
        <f>[4]ITEMS_Comm!D48</f>
        <v>Industry-Mining-boiler/process heating - Gas - Existing</v>
      </c>
      <c r="E22" s="19" t="str">
        <f>[4]ITEMS_Comm!E48</f>
        <v>PJ</v>
      </c>
      <c r="F22" s="19" t="str">
        <f>[4]ITEMS_Comm!F48</f>
        <v>COM,DEM,ANNUAL,RES</v>
      </c>
    </row>
    <row r="23" spans="1:6">
      <c r="A23" s="27" t="str">
        <f>[4]ITEMS_Comm!A49</f>
        <v/>
      </c>
      <c r="B23" s="19" t="str">
        <f>[4]ITEMS_Comm!B49</f>
        <v>E</v>
      </c>
      <c r="C23" s="27" t="str">
        <f>[4]ITEMS_Comm!C49</f>
        <v>IMIS</v>
      </c>
      <c r="D23" s="27" t="str">
        <f>[4]ITEMS_Comm!D49</f>
        <v>Industry-Mining-boiler/process heating - Oil HFO - Existing</v>
      </c>
      <c r="E23" s="19" t="str">
        <f>[4]ITEMS_Comm!E49</f>
        <v>PJ</v>
      </c>
      <c r="F23" s="19" t="str">
        <f>[4]ITEMS_Comm!F49</f>
        <v>COM,DEM,ANNUAL,RES</v>
      </c>
    </row>
    <row r="24" spans="1:6">
      <c r="A24" s="27" t="str">
        <f>[4]ITEMS_Comm!A50</f>
        <v/>
      </c>
      <c r="B24" s="19" t="str">
        <f>[4]ITEMS_Comm!B50</f>
        <v>E</v>
      </c>
      <c r="C24" s="27" t="str">
        <f>[4]ITEMS_Comm!C50</f>
        <v>IMIS</v>
      </c>
      <c r="D24" s="27" t="str">
        <f>[4]ITEMS_Comm!D50</f>
        <v>Industry-Mining-boiler/process heating - Oil LPG - Existing</v>
      </c>
      <c r="E24" s="19" t="str">
        <f>[4]ITEMS_Comm!E50</f>
        <v>PJ</v>
      </c>
      <c r="F24" s="19" t="str">
        <f>[4]ITEMS_Comm!F50</f>
        <v>COM,DEM,ANNUAL,RES</v>
      </c>
    </row>
    <row r="25" spans="1:6">
      <c r="A25" s="27" t="str">
        <f>[4]ITEMS_Comm!A51</f>
        <v/>
      </c>
      <c r="B25" s="19" t="str">
        <f>[4]ITEMS_Comm!B51</f>
        <v>E</v>
      </c>
      <c r="C25" s="27" t="str">
        <f>[4]ITEMS_Comm!C51</f>
        <v>IMIS</v>
      </c>
      <c r="D25" s="27" t="str">
        <f>[4]ITEMS_Comm!D51</f>
        <v>Industry-Mining-boiler/process heating - Electricity - Existing</v>
      </c>
      <c r="E25" s="19" t="str">
        <f>[4]ITEMS_Comm!E51</f>
        <v>PJ</v>
      </c>
      <c r="F25" s="19" t="str">
        <f>[4]ITEMS_Comm!F51</f>
        <v>COM,DEM,ANNUAL,RES</v>
      </c>
    </row>
    <row r="26" spans="1:6">
      <c r="A26" s="27" t="str">
        <f>[4]ITEMS_Comm!A52</f>
        <v/>
      </c>
      <c r="B26" s="19" t="str">
        <f>[4]ITEMS_Comm!B52</f>
        <v>E</v>
      </c>
      <c r="C26" s="27" t="str">
        <f>[4]ITEMS_Comm!C52</f>
        <v>IMIS</v>
      </c>
      <c r="D26" s="27" t="str">
        <f>[4]ITEMS_Comm!D52</f>
        <v>Industry-Mining-boiler/process heating - Waste - Existing</v>
      </c>
      <c r="E26" s="19" t="str">
        <f>[4]ITEMS_Comm!E52</f>
        <v>PJ</v>
      </c>
      <c r="F26" s="19" t="str">
        <f>[4]ITEMS_Comm!F52</f>
        <v>COM,DEM,ANNUAL,RES</v>
      </c>
    </row>
    <row r="27" spans="1:6">
      <c r="A27" s="27" t="str">
        <f>[4]ITEMS_Comm!A53</f>
        <v>*</v>
      </c>
      <c r="B27" s="19" t="str">
        <f>[4]ITEMS_Comm!B53</f>
        <v>E</v>
      </c>
      <c r="C27" s="27">
        <f>[4]ITEMS_Comm!C53</f>
        <v>0</v>
      </c>
      <c r="D27" s="27" t="str">
        <f>[4]ITEMS_Comm!D53</f>
        <v/>
      </c>
      <c r="E27" s="19" t="str">
        <f>[4]ITEMS_Comm!E53</f>
        <v>PJ</v>
      </c>
      <c r="F27" s="19" t="str">
        <f>[4]ITEMS_Comm!F53</f>
        <v>COM,DEM,ANNUAL,RES</v>
      </c>
    </row>
    <row r="28" spans="1:6">
      <c r="A28" s="27" t="str">
        <f>[4]ITEMS_Comm!A54</f>
        <v/>
      </c>
      <c r="B28" s="19" t="str">
        <f>[4]ITEMS_Comm!B54</f>
        <v>E</v>
      </c>
      <c r="C28" s="27" t="str">
        <f>[4]ITEMS_Comm!C54</f>
        <v>IMIR</v>
      </c>
      <c r="D28" s="27" t="str">
        <f>[4]ITEMS_Comm!D54</f>
        <v>Industry-Mining-Transport - Oil Diesel - Existing</v>
      </c>
      <c r="E28" s="19" t="str">
        <f>[4]ITEMS_Comm!E54</f>
        <v>PJ</v>
      </c>
      <c r="F28" s="19" t="str">
        <f>[4]ITEMS_Comm!F54</f>
        <v>COM,DEM,ANNUAL,RES</v>
      </c>
    </row>
    <row r="29" spans="1:6">
      <c r="A29" s="27" t="str">
        <f>[4]ITEMS_Comm!A55</f>
        <v>*</v>
      </c>
      <c r="B29" s="19" t="str">
        <f>[4]ITEMS_Comm!B55</f>
        <v>E</v>
      </c>
      <c r="C29" s="27" t="str">
        <f>[4]ITEMS_Comm!C55</f>
        <v>Useful Energy Service</v>
      </c>
      <c r="D29" s="27" t="str">
        <f>[4]ITEMS_Comm!D55</f>
        <v/>
      </c>
      <c r="E29" s="19" t="str">
        <f>[4]ITEMS_Comm!E55</f>
        <v>PJ</v>
      </c>
      <c r="F29" s="19" t="str">
        <f>[4]ITEMS_Comm!F55</f>
        <v>COM,DEM,ANNUAL,RES</v>
      </c>
    </row>
    <row r="30" spans="1:6">
      <c r="A30" s="27" t="str">
        <f>[4]ITEMS_Comm!A56</f>
        <v>*</v>
      </c>
      <c r="B30" s="19" t="str">
        <f>[4]ITEMS_Comm!B56</f>
        <v>E</v>
      </c>
      <c r="C30" s="27">
        <f>[4]ITEMS_Comm!C56</f>
        <v>0</v>
      </c>
      <c r="D30" s="27" t="str">
        <f>[4]ITEMS_Comm!D56</f>
        <v/>
      </c>
      <c r="E30" s="19" t="str">
        <f>[4]ITEMS_Comm!E56</f>
        <v>PJ</v>
      </c>
      <c r="F30" s="19" t="str">
        <f>[4]ITEMS_Comm!F56</f>
        <v>COM,DEM,ANNUAL,RES</v>
      </c>
    </row>
    <row r="31" spans="1:6">
      <c r="A31" s="27" t="str">
        <f>[4]ITEMS_Comm!A57</f>
        <v>*</v>
      </c>
      <c r="B31" s="19" t="str">
        <f>[4]ITEMS_Comm!B57</f>
        <v>E</v>
      </c>
      <c r="C31" s="27">
        <f>[4]ITEMS_Comm!C57</f>
        <v>2</v>
      </c>
      <c r="D31" s="27" t="str">
        <f>[4]ITEMS_Comm!D57</f>
        <v/>
      </c>
      <c r="E31" s="19" t="str">
        <f>[4]ITEMS_Comm!E57</f>
        <v>PJ</v>
      </c>
      <c r="F31" s="19" t="str">
        <f>[4]ITEMS_Comm!F57</f>
        <v>COM,DEM,ANNUAL,RES</v>
      </c>
    </row>
    <row r="32" spans="1:6">
      <c r="A32" s="27" t="str">
        <f>[4]ITEMS_Comm!A58</f>
        <v>*</v>
      </c>
      <c r="B32" s="19" t="str">
        <f>[4]ITEMS_Comm!B58</f>
        <v>E</v>
      </c>
      <c r="C32" s="27" t="str">
        <f>[4]ITEMS_Comm!C58</f>
        <v>IFAK</v>
      </c>
      <c r="D32" s="27" t="str">
        <f>[4]ITEMS_Comm!D58</f>
        <v/>
      </c>
      <c r="E32" s="19" t="str">
        <f>[4]ITEMS_Comm!E58</f>
        <v>PJ</v>
      </c>
      <c r="F32" s="19" t="str">
        <f>[4]ITEMS_Comm!F58</f>
        <v>COM,DEM,ANNUAL,RES</v>
      </c>
    </row>
    <row r="33" spans="1:6">
      <c r="A33" s="27" t="str">
        <f>[4]ITEMS_Comm!A59</f>
        <v>*</v>
      </c>
      <c r="B33" s="19" t="str">
        <f>[4]ITEMS_Comm!B59</f>
        <v>E</v>
      </c>
      <c r="C33" s="27" t="str">
        <f>[4]ITEMS_Comm!C59</f>
        <v>IFAA</v>
      </c>
      <c r="D33" s="27" t="str">
        <f>[4]ITEMS_Comm!D59</f>
        <v/>
      </c>
      <c r="E33" s="19" t="str">
        <f>[4]ITEMS_Comm!E59</f>
        <v>PJ</v>
      </c>
      <c r="F33" s="19" t="str">
        <f>[4]ITEMS_Comm!F59</f>
        <v>COM,DEM,ANNUAL,RES</v>
      </c>
    </row>
    <row r="34" spans="1:6">
      <c r="A34" s="27" t="str">
        <f>[4]ITEMS_Comm!A60</f>
        <v>*</v>
      </c>
      <c r="B34" s="19" t="str">
        <f>[4]ITEMS_Comm!B60</f>
        <v>E</v>
      </c>
      <c r="C34" s="27" t="str">
        <f>[4]ITEMS_Comm!C60</f>
        <v>IFAL</v>
      </c>
      <c r="D34" s="27" t="str">
        <f>[4]ITEMS_Comm!D60</f>
        <v/>
      </c>
      <c r="E34" s="19" t="str">
        <f>[4]ITEMS_Comm!E60</f>
        <v>PJ</v>
      </c>
      <c r="F34" s="19" t="str">
        <f>[4]ITEMS_Comm!F60</f>
        <v>COM,DEM,ANNUAL,RES</v>
      </c>
    </row>
    <row r="35" spans="1:6">
      <c r="A35" s="27" t="str">
        <f>[4]ITEMS_Comm!A61</f>
        <v>*</v>
      </c>
      <c r="B35" s="19" t="str">
        <f>[4]ITEMS_Comm!B61</f>
        <v>E</v>
      </c>
      <c r="C35" s="27" t="str">
        <f>[4]ITEMS_Comm!C61</f>
        <v>IFAC</v>
      </c>
      <c r="D35" s="27" t="str">
        <f>[4]ITEMS_Comm!D61</f>
        <v/>
      </c>
      <c r="E35" s="19" t="str">
        <f>[4]ITEMS_Comm!E61</f>
        <v>PJ</v>
      </c>
      <c r="F35" s="19" t="str">
        <f>[4]ITEMS_Comm!F61</f>
        <v>COM,DEM,ANNUAL,RES</v>
      </c>
    </row>
    <row r="36" spans="1:6">
      <c r="A36" s="27" t="str">
        <f>[4]ITEMS_Comm!A62</f>
        <v>*</v>
      </c>
      <c r="B36" s="19" t="str">
        <f>[4]ITEMS_Comm!B62</f>
        <v>E</v>
      </c>
      <c r="C36" s="27" t="str">
        <f>[4]ITEMS_Comm!C62</f>
        <v>IFAH</v>
      </c>
      <c r="D36" s="27" t="str">
        <f>[4]ITEMS_Comm!D62</f>
        <v/>
      </c>
      <c r="E36" s="19" t="str">
        <f>[4]ITEMS_Comm!E62</f>
        <v>PJ</v>
      </c>
      <c r="F36" s="19" t="str">
        <f>[4]ITEMS_Comm!F62</f>
        <v>COM,DEM,ANNUAL,RES</v>
      </c>
    </row>
    <row r="37" spans="1:6">
      <c r="A37" s="27" t="str">
        <f>[4]ITEMS_Comm!A63</f>
        <v>*</v>
      </c>
      <c r="B37" s="19" t="str">
        <f>[4]ITEMS_Comm!B63</f>
        <v>E</v>
      </c>
      <c r="C37" s="27" t="str">
        <f>[4]ITEMS_Comm!C63</f>
        <v>IFAP</v>
      </c>
      <c r="D37" s="27" t="str">
        <f>[4]ITEMS_Comm!D63</f>
        <v/>
      </c>
      <c r="E37" s="19" t="str">
        <f>[4]ITEMS_Comm!E63</f>
        <v>PJ</v>
      </c>
      <c r="F37" s="19" t="str">
        <f>[4]ITEMS_Comm!F63</f>
        <v>COM,DEM,ANNUAL,RES</v>
      </c>
    </row>
    <row r="38" spans="1:6">
      <c r="A38" s="27" t="str">
        <f>[4]ITEMS_Comm!A64</f>
        <v>*</v>
      </c>
      <c r="B38" s="19" t="str">
        <f>[4]ITEMS_Comm!B64</f>
        <v>E</v>
      </c>
      <c r="C38" s="27" t="str">
        <f>[4]ITEMS_Comm!C64</f>
        <v>IFAF</v>
      </c>
      <c r="D38" s="27" t="str">
        <f>[4]ITEMS_Comm!D64</f>
        <v/>
      </c>
      <c r="E38" s="19" t="str">
        <f>[4]ITEMS_Comm!E64</f>
        <v>PJ</v>
      </c>
      <c r="F38" s="19" t="str">
        <f>[4]ITEMS_Comm!F64</f>
        <v>COM,DEM,ANNUAL,RES</v>
      </c>
    </row>
    <row r="39" spans="1:6">
      <c r="A39" s="27" t="str">
        <f>[4]ITEMS_Comm!A65</f>
        <v>*</v>
      </c>
      <c r="B39" s="19" t="str">
        <f>[4]ITEMS_Comm!B65</f>
        <v>E</v>
      </c>
      <c r="C39" s="27" t="str">
        <f>[4]ITEMS_Comm!C65</f>
        <v>IFAO</v>
      </c>
      <c r="D39" s="27" t="str">
        <f>[4]ITEMS_Comm!D65</f>
        <v/>
      </c>
      <c r="E39" s="19" t="str">
        <f>[4]ITEMS_Comm!E65</f>
        <v>PJ</v>
      </c>
      <c r="F39" s="19" t="str">
        <f>[4]ITEMS_Comm!F65</f>
        <v>COM,DEM,ANNUAL,RES</v>
      </c>
    </row>
    <row r="40" spans="1:6">
      <c r="A40" s="27" t="str">
        <f>[4]ITEMS_Comm!A66</f>
        <v>*</v>
      </c>
      <c r="B40" s="19" t="str">
        <f>[4]ITEMS_Comm!B66</f>
        <v>E</v>
      </c>
      <c r="C40" s="27" t="str">
        <f>[4]ITEMS_Comm!C66</f>
        <v>IFAE</v>
      </c>
      <c r="D40" s="27" t="str">
        <f>[4]ITEMS_Comm!D66</f>
        <v/>
      </c>
      <c r="E40" s="19" t="str">
        <f>[4]ITEMS_Comm!E66</f>
        <v>PJ</v>
      </c>
      <c r="F40" s="19" t="str">
        <f>[4]ITEMS_Comm!F66</f>
        <v>COM,DEM,ANNUAL,RES</v>
      </c>
    </row>
    <row r="41" spans="1:6">
      <c r="A41" s="27" t="str">
        <f>[4]ITEMS_Comm!A67</f>
        <v>*</v>
      </c>
      <c r="B41" s="19" t="str">
        <f>[4]ITEMS_Comm!B67</f>
        <v>E</v>
      </c>
      <c r="C41" s="27">
        <f>[4]ITEMS_Comm!C67</f>
        <v>0</v>
      </c>
      <c r="D41" s="27" t="str">
        <f>[4]ITEMS_Comm!D67</f>
        <v/>
      </c>
      <c r="E41" s="19" t="str">
        <f>[4]ITEMS_Comm!E67</f>
        <v>PJ</v>
      </c>
      <c r="F41" s="19" t="str">
        <f>[4]ITEMS_Comm!F67</f>
        <v>COM,DEM,ANNUAL,RES</v>
      </c>
    </row>
    <row r="42" spans="1:6">
      <c r="A42" s="27" t="str">
        <f>[4]ITEMS_Comm!A68</f>
        <v>*</v>
      </c>
      <c r="B42" s="19" t="str">
        <f>[4]ITEMS_Comm!B68</f>
        <v>E</v>
      </c>
      <c r="C42" s="27" t="str">
        <f>[4]ITEMS_Comm!C68</f>
        <v>IFAS</v>
      </c>
      <c r="D42" s="27" t="str">
        <f>[4]ITEMS_Comm!D68</f>
        <v/>
      </c>
      <c r="E42" s="19" t="str">
        <f>[4]ITEMS_Comm!E68</f>
        <v>PJ</v>
      </c>
      <c r="F42" s="19" t="str">
        <f>[4]ITEMS_Comm!F68</f>
        <v>COM,DEM,ANNUAL,RES</v>
      </c>
    </row>
    <row r="43" spans="1:6">
      <c r="A43" s="27" t="str">
        <f>[4]ITEMS_Comm!A69</f>
        <v>*</v>
      </c>
      <c r="B43" s="19" t="str">
        <f>[4]ITEMS_Comm!B69</f>
        <v>E</v>
      </c>
      <c r="C43" s="27" t="str">
        <f>[4]ITEMS_Comm!C69</f>
        <v>IFAS</v>
      </c>
      <c r="D43" s="27" t="str">
        <f>[4]ITEMS_Comm!D69</f>
        <v/>
      </c>
      <c r="E43" s="19" t="str">
        <f>[4]ITEMS_Comm!E69</f>
        <v>PJ</v>
      </c>
      <c r="F43" s="19" t="str">
        <f>[4]ITEMS_Comm!F69</f>
        <v>COM,DEM,ANNUAL,RES</v>
      </c>
    </row>
    <row r="44" spans="1:6">
      <c r="A44" s="27" t="str">
        <f>[4]ITEMS_Comm!A70</f>
        <v>*</v>
      </c>
      <c r="B44" s="19" t="str">
        <f>[4]ITEMS_Comm!B70</f>
        <v>E</v>
      </c>
      <c r="C44" s="27" t="str">
        <f>[4]ITEMS_Comm!C70</f>
        <v>IFAS</v>
      </c>
      <c r="D44" s="27" t="str">
        <f>[4]ITEMS_Comm!D70</f>
        <v/>
      </c>
      <c r="E44" s="19" t="str">
        <f>[4]ITEMS_Comm!E70</f>
        <v>PJ</v>
      </c>
      <c r="F44" s="19" t="str">
        <f>[4]ITEMS_Comm!F70</f>
        <v>COM,DEM,ANNUAL,RES</v>
      </c>
    </row>
    <row r="45" spans="1:6">
      <c r="A45" s="27" t="str">
        <f>[4]ITEMS_Comm!A71</f>
        <v>*</v>
      </c>
      <c r="B45" s="19" t="str">
        <f>[4]ITEMS_Comm!B71</f>
        <v>E</v>
      </c>
      <c r="C45" s="27" t="str">
        <f>[4]ITEMS_Comm!C71</f>
        <v>IFAS</v>
      </c>
      <c r="D45" s="27" t="str">
        <f>[4]ITEMS_Comm!D71</f>
        <v/>
      </c>
      <c r="E45" s="19" t="str">
        <f>[4]ITEMS_Comm!E71</f>
        <v>PJ</v>
      </c>
      <c r="F45" s="19" t="str">
        <f>[4]ITEMS_Comm!F71</f>
        <v>COM,DEM,ANNUAL,RES</v>
      </c>
    </row>
    <row r="46" spans="1:6">
      <c r="A46" s="27" t="str">
        <f>[4]ITEMS_Comm!A72</f>
        <v>*</v>
      </c>
      <c r="B46" s="19" t="str">
        <f>[4]ITEMS_Comm!B72</f>
        <v>E</v>
      </c>
      <c r="C46" s="27" t="str">
        <f>[4]ITEMS_Comm!C72</f>
        <v>IFAS</v>
      </c>
      <c r="D46" s="27" t="str">
        <f>[4]ITEMS_Comm!D72</f>
        <v/>
      </c>
      <c r="E46" s="19" t="str">
        <f>[4]ITEMS_Comm!E72</f>
        <v>PJ</v>
      </c>
      <c r="F46" s="19" t="str">
        <f>[4]ITEMS_Comm!F72</f>
        <v>COM,DEM,ANNUAL,RES</v>
      </c>
    </row>
    <row r="47" spans="1:6">
      <c r="A47" s="27" t="str">
        <f>[4]ITEMS_Comm!A73</f>
        <v>*</v>
      </c>
      <c r="B47" s="19" t="str">
        <f>[4]ITEMS_Comm!B73</f>
        <v>E</v>
      </c>
      <c r="C47" s="27" t="str">
        <f>[4]ITEMS_Comm!C73</f>
        <v>IFAS</v>
      </c>
      <c r="D47" s="27" t="str">
        <f>[4]ITEMS_Comm!D73</f>
        <v/>
      </c>
      <c r="E47" s="19" t="str">
        <f>[4]ITEMS_Comm!E73</f>
        <v>PJ</v>
      </c>
      <c r="F47" s="19" t="str">
        <f>[4]ITEMS_Comm!F73</f>
        <v>COM,DEM,ANNUAL,RES</v>
      </c>
    </row>
    <row r="48" spans="1:6">
      <c r="A48" s="27" t="str">
        <f>[4]ITEMS_Comm!A74</f>
        <v>*</v>
      </c>
      <c r="B48" s="19" t="str">
        <f>[4]ITEMS_Comm!B74</f>
        <v>E</v>
      </c>
      <c r="C48" s="27">
        <f>[4]ITEMS_Comm!C74</f>
        <v>0</v>
      </c>
      <c r="D48" s="27" t="str">
        <f>[4]ITEMS_Comm!D74</f>
        <v/>
      </c>
      <c r="E48" s="19" t="str">
        <f>[4]ITEMS_Comm!E74</f>
        <v>PJ</v>
      </c>
      <c r="F48" s="19" t="str">
        <f>[4]ITEMS_Comm!F74</f>
        <v>COM,DEM,ANNUAL,RES</v>
      </c>
    </row>
    <row r="49" spans="1:6">
      <c r="A49" s="27" t="str">
        <f>[4]ITEMS_Comm!A75</f>
        <v>*</v>
      </c>
      <c r="B49" s="19" t="str">
        <f>[4]ITEMS_Comm!B75</f>
        <v>E</v>
      </c>
      <c r="C49" s="27" t="str">
        <f>[4]ITEMS_Comm!C75</f>
        <v>IFAR</v>
      </c>
      <c r="D49" s="27" t="str">
        <f>[4]ITEMS_Comm!D75</f>
        <v/>
      </c>
      <c r="E49" s="19" t="str">
        <f>[4]ITEMS_Comm!E75</f>
        <v>PJ</v>
      </c>
      <c r="F49" s="19" t="str">
        <f>[4]ITEMS_Comm!F75</f>
        <v>COM,DEM,ANNUAL,RES</v>
      </c>
    </row>
    <row r="50" spans="1:6">
      <c r="A50" s="27" t="str">
        <f>[4]ITEMS_Comm!A76</f>
        <v>*</v>
      </c>
      <c r="B50" s="19" t="str">
        <f>[4]ITEMS_Comm!B76</f>
        <v>E</v>
      </c>
      <c r="C50" s="27" t="str">
        <f>[4]ITEMS_Comm!C76</f>
        <v>Useful Energy Service</v>
      </c>
      <c r="D50" s="27" t="str">
        <f>[4]ITEMS_Comm!D76</f>
        <v/>
      </c>
      <c r="E50" s="19" t="str">
        <f>[4]ITEMS_Comm!E76</f>
        <v>PJ</v>
      </c>
      <c r="F50" s="19" t="str">
        <f>[4]ITEMS_Comm!F76</f>
        <v>COM,DEM,ANNUAL,RES</v>
      </c>
    </row>
    <row r="51" spans="1:6">
      <c r="A51" s="27" t="str">
        <f>[4]ITEMS_Comm!A77</f>
        <v>*</v>
      </c>
      <c r="B51" s="19" t="str">
        <f>[4]ITEMS_Comm!B77</f>
        <v>E</v>
      </c>
      <c r="C51" s="27">
        <f>[4]ITEMS_Comm!C77</f>
        <v>0</v>
      </c>
      <c r="D51" s="27" t="str">
        <f>[4]ITEMS_Comm!D77</f>
        <v/>
      </c>
      <c r="E51" s="19" t="str">
        <f>[4]ITEMS_Comm!E77</f>
        <v>PJ</v>
      </c>
      <c r="F51" s="19" t="str">
        <f>[4]ITEMS_Comm!F77</f>
        <v>COM,DEM,ANNUAL,RES</v>
      </c>
    </row>
    <row r="52" spans="1:6">
      <c r="A52" s="27" t="str">
        <f>[4]ITEMS_Comm!A78</f>
        <v>*</v>
      </c>
      <c r="B52" s="19" t="str">
        <f>[4]ITEMS_Comm!B78</f>
        <v>E</v>
      </c>
      <c r="C52" s="27">
        <f>[4]ITEMS_Comm!C78</f>
        <v>2</v>
      </c>
      <c r="D52" s="27" t="str">
        <f>[4]ITEMS_Comm!D78</f>
        <v/>
      </c>
      <c r="E52" s="19" t="str">
        <f>[4]ITEMS_Comm!E78</f>
        <v>PJ</v>
      </c>
      <c r="F52" s="19" t="str">
        <f>[4]ITEMS_Comm!F78</f>
        <v>COM,DEM,ANNUAL,RES</v>
      </c>
    </row>
    <row r="53" spans="1:6">
      <c r="A53" s="27" t="str">
        <f>[4]ITEMS_Comm!A79</f>
        <v>*</v>
      </c>
      <c r="B53" s="19" t="str">
        <f>[4]ITEMS_Comm!B79</f>
        <v>E</v>
      </c>
      <c r="C53" s="27" t="str">
        <f>[4]ITEMS_Comm!C79</f>
        <v>IISK</v>
      </c>
      <c r="D53" s="27" t="str">
        <f>[4]ITEMS_Comm!D79</f>
        <v/>
      </c>
      <c r="E53" s="19" t="str">
        <f>[4]ITEMS_Comm!E79</f>
        <v>PJ</v>
      </c>
      <c r="F53" s="19" t="str">
        <f>[4]ITEMS_Comm!F79</f>
        <v>COM,DEM,ANNUAL,RES</v>
      </c>
    </row>
    <row r="54" spans="1:6">
      <c r="A54" s="27" t="str">
        <f>[4]ITEMS_Comm!A80</f>
        <v>*</v>
      </c>
      <c r="B54" s="19" t="str">
        <f>[4]ITEMS_Comm!B80</f>
        <v>E</v>
      </c>
      <c r="C54" s="27" t="str">
        <f>[4]ITEMS_Comm!C80</f>
        <v>IISA</v>
      </c>
      <c r="D54" s="27" t="str">
        <f>[4]ITEMS_Comm!D80</f>
        <v/>
      </c>
      <c r="E54" s="19" t="str">
        <f>[4]ITEMS_Comm!E80</f>
        <v>PJ</v>
      </c>
      <c r="F54" s="19" t="str">
        <f>[4]ITEMS_Comm!F80</f>
        <v>COM,DEM,ANNUAL,RES</v>
      </c>
    </row>
    <row r="55" spans="1:6">
      <c r="A55" s="27" t="str">
        <f>[4]ITEMS_Comm!A81</f>
        <v>*</v>
      </c>
      <c r="B55" s="19" t="str">
        <f>[4]ITEMS_Comm!B81</f>
        <v>E</v>
      </c>
      <c r="C55" s="27" t="str">
        <f>[4]ITEMS_Comm!C81</f>
        <v>IISL</v>
      </c>
      <c r="D55" s="27" t="str">
        <f>[4]ITEMS_Comm!D81</f>
        <v/>
      </c>
      <c r="E55" s="19" t="str">
        <f>[4]ITEMS_Comm!E81</f>
        <v>PJ</v>
      </c>
      <c r="F55" s="19" t="str">
        <f>[4]ITEMS_Comm!F81</f>
        <v>COM,DEM,ANNUAL,RES</v>
      </c>
    </row>
    <row r="56" spans="1:6">
      <c r="A56" s="27" t="str">
        <f>[4]ITEMS_Comm!A82</f>
        <v>*</v>
      </c>
      <c r="B56" s="19" t="str">
        <f>[4]ITEMS_Comm!B82</f>
        <v>E</v>
      </c>
      <c r="C56" s="27" t="str">
        <f>[4]ITEMS_Comm!C82</f>
        <v>IISC</v>
      </c>
      <c r="D56" s="27" t="str">
        <f>[4]ITEMS_Comm!D82</f>
        <v/>
      </c>
      <c r="E56" s="19" t="str">
        <f>[4]ITEMS_Comm!E82</f>
        <v>PJ</v>
      </c>
      <c r="F56" s="19" t="str">
        <f>[4]ITEMS_Comm!F82</f>
        <v>COM,DEM,ANNUAL,RES</v>
      </c>
    </row>
    <row r="57" spans="1:6">
      <c r="A57" s="27" t="str">
        <f>[4]ITEMS_Comm!A83</f>
        <v>*</v>
      </c>
      <c r="B57" s="19" t="str">
        <f>[4]ITEMS_Comm!B83</f>
        <v>E</v>
      </c>
      <c r="C57" s="27" t="str">
        <f>[4]ITEMS_Comm!C83</f>
        <v>IISH</v>
      </c>
      <c r="D57" s="27" t="str">
        <f>[4]ITEMS_Comm!D83</f>
        <v/>
      </c>
      <c r="E57" s="19" t="str">
        <f>[4]ITEMS_Comm!E83</f>
        <v>PJ</v>
      </c>
      <c r="F57" s="19" t="str">
        <f>[4]ITEMS_Comm!F83</f>
        <v>COM,DEM,ANNUAL,RES</v>
      </c>
    </row>
    <row r="58" spans="1:6">
      <c r="A58" s="27" t="str">
        <f>[4]ITEMS_Comm!A84</f>
        <v>*</v>
      </c>
      <c r="B58" s="19" t="str">
        <f>[4]ITEMS_Comm!B84</f>
        <v>E</v>
      </c>
      <c r="C58" s="27" t="str">
        <f>[4]ITEMS_Comm!C84</f>
        <v>IISP</v>
      </c>
      <c r="D58" s="27" t="str">
        <f>[4]ITEMS_Comm!D84</f>
        <v/>
      </c>
      <c r="E58" s="19" t="str">
        <f>[4]ITEMS_Comm!E84</f>
        <v>PJ</v>
      </c>
      <c r="F58" s="19" t="str">
        <f>[4]ITEMS_Comm!F84</f>
        <v>COM,DEM,ANNUAL,RES</v>
      </c>
    </row>
    <row r="59" spans="1:6">
      <c r="A59" s="27" t="str">
        <f>[4]ITEMS_Comm!A85</f>
        <v>*</v>
      </c>
      <c r="B59" s="19" t="str">
        <f>[4]ITEMS_Comm!B85</f>
        <v>E</v>
      </c>
      <c r="C59" s="27" t="str">
        <f>[4]ITEMS_Comm!C85</f>
        <v>IISF</v>
      </c>
      <c r="D59" s="27" t="str">
        <f>[4]ITEMS_Comm!D85</f>
        <v/>
      </c>
      <c r="E59" s="19" t="str">
        <f>[4]ITEMS_Comm!E85</f>
        <v>PJ</v>
      </c>
      <c r="F59" s="19" t="str">
        <f>[4]ITEMS_Comm!F85</f>
        <v>COM,DEM,ANNUAL,RES</v>
      </c>
    </row>
    <row r="60" spans="1:6">
      <c r="A60" s="27" t="str">
        <f>[4]ITEMS_Comm!A86</f>
        <v>*</v>
      </c>
      <c r="B60" s="19" t="str">
        <f>[4]ITEMS_Comm!B86</f>
        <v>E</v>
      </c>
      <c r="C60" s="27" t="str">
        <f>[4]ITEMS_Comm!C86</f>
        <v>IISO</v>
      </c>
      <c r="D60" s="27" t="str">
        <f>[4]ITEMS_Comm!D86</f>
        <v/>
      </c>
      <c r="E60" s="19" t="str">
        <f>[4]ITEMS_Comm!E86</f>
        <v>PJ</v>
      </c>
      <c r="F60" s="19" t="str">
        <f>[4]ITEMS_Comm!F86</f>
        <v>COM,DEM,ANNUAL,RES</v>
      </c>
    </row>
    <row r="61" spans="1:6">
      <c r="A61" s="27" t="str">
        <f>[4]ITEMS_Comm!A87</f>
        <v>*</v>
      </c>
      <c r="B61" s="19" t="str">
        <f>[4]ITEMS_Comm!B87</f>
        <v>E</v>
      </c>
      <c r="C61" s="27" t="str">
        <f>[4]ITEMS_Comm!C87</f>
        <v>IISE</v>
      </c>
      <c r="D61" s="27" t="str">
        <f>[4]ITEMS_Comm!D87</f>
        <v/>
      </c>
      <c r="E61" s="19" t="str">
        <f>[4]ITEMS_Comm!E87</f>
        <v>PJ</v>
      </c>
      <c r="F61" s="19" t="str">
        <f>[4]ITEMS_Comm!F87</f>
        <v>COM,DEM,ANNUAL,RES</v>
      </c>
    </row>
    <row r="62" spans="1:6">
      <c r="A62" s="27" t="str">
        <f>[4]ITEMS_Comm!A88</f>
        <v>*</v>
      </c>
      <c r="B62" s="19" t="str">
        <f>[4]ITEMS_Comm!B88</f>
        <v>E</v>
      </c>
      <c r="C62" s="27" t="str">
        <f>[4]ITEMS_Comm!C88</f>
        <v xml:space="preserve"> </v>
      </c>
      <c r="D62" s="27" t="str">
        <f>[4]ITEMS_Comm!D88</f>
        <v/>
      </c>
      <c r="E62" s="19" t="str">
        <f>[4]ITEMS_Comm!E88</f>
        <v>PJ</v>
      </c>
      <c r="F62" s="19" t="str">
        <f>[4]ITEMS_Comm!F88</f>
        <v>COM,DEM,ANNUAL,RES</v>
      </c>
    </row>
    <row r="63" spans="1:6">
      <c r="A63" s="27" t="str">
        <f>[4]ITEMS_Comm!A89</f>
        <v>*</v>
      </c>
      <c r="B63" s="19" t="str">
        <f>[4]ITEMS_Comm!B89</f>
        <v>E</v>
      </c>
      <c r="C63" s="27" t="str">
        <f>[4]ITEMS_Comm!C89</f>
        <v>IISS</v>
      </c>
      <c r="D63" s="27" t="str">
        <f>[4]ITEMS_Comm!D89</f>
        <v/>
      </c>
      <c r="E63" s="19" t="str">
        <f>[4]ITEMS_Comm!E89</f>
        <v>PJ</v>
      </c>
      <c r="F63" s="19" t="str">
        <f>[4]ITEMS_Comm!F89</f>
        <v>COM,DEM,ANNUAL,RES</v>
      </c>
    </row>
    <row r="64" spans="1:6">
      <c r="A64" s="27" t="str">
        <f>[4]ITEMS_Comm!A90</f>
        <v>*</v>
      </c>
      <c r="B64" s="19" t="str">
        <f>[4]ITEMS_Comm!B90</f>
        <v>E</v>
      </c>
      <c r="C64" s="27" t="str">
        <f>[4]ITEMS_Comm!C90</f>
        <v>IISS</v>
      </c>
      <c r="D64" s="27" t="str">
        <f>[4]ITEMS_Comm!D90</f>
        <v/>
      </c>
      <c r="E64" s="19" t="str">
        <f>[4]ITEMS_Comm!E90</f>
        <v>PJ</v>
      </c>
      <c r="F64" s="19" t="str">
        <f>[4]ITEMS_Comm!F90</f>
        <v>COM,DEM,ANNUAL,RES</v>
      </c>
    </row>
    <row r="65" spans="1:6">
      <c r="A65" s="27" t="str">
        <f>[4]ITEMS_Comm!A91</f>
        <v>*</v>
      </c>
      <c r="B65" s="19" t="str">
        <f>[4]ITEMS_Comm!B91</f>
        <v>E</v>
      </c>
      <c r="C65" s="27" t="str">
        <f>[4]ITEMS_Comm!C91</f>
        <v>IISS</v>
      </c>
      <c r="D65" s="27" t="str">
        <f>[4]ITEMS_Comm!D91</f>
        <v/>
      </c>
      <c r="E65" s="19" t="str">
        <f>[4]ITEMS_Comm!E91</f>
        <v>PJ</v>
      </c>
      <c r="F65" s="19" t="str">
        <f>[4]ITEMS_Comm!F91</f>
        <v>COM,DEM,ANNUAL,RES</v>
      </c>
    </row>
    <row r="66" spans="1:6">
      <c r="A66" s="27" t="str">
        <f>[4]ITEMS_Comm!A92</f>
        <v>*</v>
      </c>
      <c r="B66" s="19" t="str">
        <f>[4]ITEMS_Comm!B92</f>
        <v>E</v>
      </c>
      <c r="C66" s="27" t="str">
        <f>[4]ITEMS_Comm!C92</f>
        <v>IISS</v>
      </c>
      <c r="D66" s="27" t="str">
        <f>[4]ITEMS_Comm!D92</f>
        <v/>
      </c>
      <c r="E66" s="19" t="str">
        <f>[4]ITEMS_Comm!E92</f>
        <v>PJ</v>
      </c>
      <c r="F66" s="19" t="str">
        <f>[4]ITEMS_Comm!F92</f>
        <v>COM,DEM,ANNUAL,RES</v>
      </c>
    </row>
    <row r="67" spans="1:6">
      <c r="A67" s="27" t="str">
        <f>[4]ITEMS_Comm!A93</f>
        <v>*</v>
      </c>
      <c r="B67" s="19" t="str">
        <f>[4]ITEMS_Comm!B93</f>
        <v>E</v>
      </c>
      <c r="C67" s="27" t="str">
        <f>[4]ITEMS_Comm!C93</f>
        <v>IISS</v>
      </c>
      <c r="D67" s="27" t="str">
        <f>[4]ITEMS_Comm!D93</f>
        <v/>
      </c>
      <c r="E67" s="19" t="str">
        <f>[4]ITEMS_Comm!E93</f>
        <v>PJ</v>
      </c>
      <c r="F67" s="19" t="str">
        <f>[4]ITEMS_Comm!F93</f>
        <v>COM,DEM,ANNUAL,RES</v>
      </c>
    </row>
    <row r="68" spans="1:6">
      <c r="A68" s="27" t="str">
        <f>[4]ITEMS_Comm!A94</f>
        <v>*</v>
      </c>
      <c r="B68" s="19" t="str">
        <f>[4]ITEMS_Comm!B94</f>
        <v>E</v>
      </c>
      <c r="C68" s="27" t="str">
        <f>[4]ITEMS_Comm!C94</f>
        <v>IISS</v>
      </c>
      <c r="D68" s="27" t="str">
        <f>[4]ITEMS_Comm!D94</f>
        <v/>
      </c>
      <c r="E68" s="19" t="str">
        <f>[4]ITEMS_Comm!E94</f>
        <v>PJ</v>
      </c>
      <c r="F68" s="19" t="str">
        <f>[4]ITEMS_Comm!F94</f>
        <v>COM,DEM,ANNUAL,RES</v>
      </c>
    </row>
    <row r="69" spans="1:6">
      <c r="A69" s="27" t="str">
        <f>[4]ITEMS_Comm!A95</f>
        <v>*</v>
      </c>
      <c r="B69" s="19" t="str">
        <f>[4]ITEMS_Comm!B95</f>
        <v>E</v>
      </c>
      <c r="C69" s="27">
        <f>[4]ITEMS_Comm!C95</f>
        <v>0</v>
      </c>
      <c r="D69" s="27" t="str">
        <f>[4]ITEMS_Comm!D95</f>
        <v/>
      </c>
      <c r="E69" s="19" t="str">
        <f>[4]ITEMS_Comm!E95</f>
        <v>PJ</v>
      </c>
      <c r="F69" s="19" t="str">
        <f>[4]ITEMS_Comm!F95</f>
        <v>COM,DEM,ANNUAL,RES</v>
      </c>
    </row>
    <row r="70" spans="1:6">
      <c r="A70" s="27" t="str">
        <f>[4]ITEMS_Comm!A96</f>
        <v>*</v>
      </c>
      <c r="B70" s="19" t="str">
        <f>[4]ITEMS_Comm!B96</f>
        <v>E</v>
      </c>
      <c r="C70" s="27" t="str">
        <f>[4]ITEMS_Comm!C96</f>
        <v>IIST</v>
      </c>
      <c r="D70" s="27" t="str">
        <f>[4]ITEMS_Comm!D96</f>
        <v/>
      </c>
      <c r="E70" s="19" t="str">
        <f>[4]ITEMS_Comm!E96</f>
        <v>PJ</v>
      </c>
      <c r="F70" s="19" t="str">
        <f>[4]ITEMS_Comm!F96</f>
        <v>COM,DEM,ANNUAL,RES</v>
      </c>
    </row>
    <row r="71" spans="1:6">
      <c r="A71" s="27" t="str">
        <f>[4]ITEMS_Comm!A97</f>
        <v>*</v>
      </c>
      <c r="B71" s="19" t="str">
        <f>[4]ITEMS_Comm!B97</f>
        <v>E</v>
      </c>
      <c r="C71" s="27" t="str">
        <f>[4]ITEMS_Comm!C97</f>
        <v>Useful Energy Service</v>
      </c>
      <c r="D71" s="27" t="str">
        <f>[4]ITEMS_Comm!D97</f>
        <v/>
      </c>
      <c r="E71" s="19" t="str">
        <f>[4]ITEMS_Comm!E97</f>
        <v>PJ</v>
      </c>
      <c r="F71" s="19" t="str">
        <f>[4]ITEMS_Comm!F97</f>
        <v>COM,DEM,ANNUAL,RES</v>
      </c>
    </row>
    <row r="72" spans="1:6">
      <c r="A72" s="27" t="str">
        <f>[4]ITEMS_Comm!A98</f>
        <v>*</v>
      </c>
      <c r="B72" s="19" t="str">
        <f>[4]ITEMS_Comm!B98</f>
        <v>E</v>
      </c>
      <c r="C72" s="27">
        <f>[4]ITEMS_Comm!C98</f>
        <v>0</v>
      </c>
      <c r="D72" s="27" t="str">
        <f>[4]ITEMS_Comm!D98</f>
        <v/>
      </c>
      <c r="E72" s="19" t="str">
        <f>[4]ITEMS_Comm!E98</f>
        <v>PJ</v>
      </c>
      <c r="F72" s="19" t="str">
        <f>[4]ITEMS_Comm!F98</f>
        <v>COM,DEM,ANNUAL,RES</v>
      </c>
    </row>
    <row r="73" spans="1:6">
      <c r="A73" s="27" t="str">
        <f>[4]ITEMS_Comm!A99</f>
        <v>*</v>
      </c>
      <c r="B73" s="19" t="str">
        <f>[4]ITEMS_Comm!B99</f>
        <v>E</v>
      </c>
      <c r="C73" s="27">
        <f>[4]ITEMS_Comm!C99</f>
        <v>2</v>
      </c>
      <c r="D73" s="27" t="str">
        <f>[4]ITEMS_Comm!D99</f>
        <v/>
      </c>
      <c r="E73" s="19" t="str">
        <f>[4]ITEMS_Comm!E99</f>
        <v>PJ</v>
      </c>
      <c r="F73" s="19" t="str">
        <f>[4]ITEMS_Comm!F99</f>
        <v>COM,DEM,ANNUAL,RES</v>
      </c>
    </row>
    <row r="74" spans="1:6">
      <c r="A74" s="27" t="str">
        <f>[4]ITEMS_Comm!A100</f>
        <v/>
      </c>
      <c r="B74" s="19" t="str">
        <f>[4]ITEMS_Comm!B100</f>
        <v>E</v>
      </c>
      <c r="C74" s="27" t="str">
        <f>[4]ITEMS_Comm!C100</f>
        <v>ICPK</v>
      </c>
      <c r="D74" s="27" t="str">
        <f>[4]ITEMS_Comm!D100</f>
        <v>Industry-Chemicals-Elec Heating - Electricity</v>
      </c>
      <c r="E74" s="19" t="str">
        <f>[4]ITEMS_Comm!E100</f>
        <v>PJ</v>
      </c>
      <c r="F74" s="19" t="str">
        <f>[4]ITEMS_Comm!F100</f>
        <v>COM,DEM,ANNUAL,RES</v>
      </c>
    </row>
    <row r="75" spans="1:6">
      <c r="A75" s="27" t="str">
        <f>[4]ITEMS_Comm!A101</f>
        <v/>
      </c>
      <c r="B75" s="19" t="str">
        <f>[4]ITEMS_Comm!B101</f>
        <v>E</v>
      </c>
      <c r="C75" s="27" t="str">
        <f>[4]ITEMS_Comm!C101</f>
        <v>ICPA</v>
      </c>
      <c r="D75" s="27" t="str">
        <f>[4]ITEMS_Comm!D101</f>
        <v>Industry-Chemicals-Compressed air - Electricity</v>
      </c>
      <c r="E75" s="19" t="str">
        <f>[4]ITEMS_Comm!E101</f>
        <v>PJ</v>
      </c>
      <c r="F75" s="19" t="str">
        <f>[4]ITEMS_Comm!F101</f>
        <v>COM,DEM,ANNUAL,RES</v>
      </c>
    </row>
    <row r="76" spans="1:6">
      <c r="A76" s="27" t="str">
        <f>[4]ITEMS_Comm!A102</f>
        <v/>
      </c>
      <c r="B76" s="19" t="str">
        <f>[4]ITEMS_Comm!B102</f>
        <v>E</v>
      </c>
      <c r="C76" s="27" t="str">
        <f>[4]ITEMS_Comm!C102</f>
        <v>ICPL</v>
      </c>
      <c r="D76" s="27" t="str">
        <f>[4]ITEMS_Comm!D102</f>
        <v>Industry-Chemicals-Lighting - Electricity</v>
      </c>
      <c r="E76" s="19" t="str">
        <f>[4]ITEMS_Comm!E102</f>
        <v>PJ</v>
      </c>
      <c r="F76" s="19" t="str">
        <f>[4]ITEMS_Comm!F102</f>
        <v>COM,DEM,ANNUAL,RES</v>
      </c>
    </row>
    <row r="77" spans="1:6">
      <c r="A77" s="27" t="str">
        <f>[4]ITEMS_Comm!A103</f>
        <v/>
      </c>
      <c r="B77" s="19" t="str">
        <f>[4]ITEMS_Comm!B103</f>
        <v>E</v>
      </c>
      <c r="C77" s="27" t="str">
        <f>[4]ITEMS_Comm!C103</f>
        <v>ICPC</v>
      </c>
      <c r="D77" s="27" t="str">
        <f>[4]ITEMS_Comm!D103</f>
        <v>Industry-Chemicals-Cooling - Electricity</v>
      </c>
      <c r="E77" s="19" t="str">
        <f>[4]ITEMS_Comm!E103</f>
        <v>PJ</v>
      </c>
      <c r="F77" s="19" t="str">
        <f>[4]ITEMS_Comm!F103</f>
        <v>COM,DEM,ANNUAL,RES</v>
      </c>
    </row>
    <row r="78" spans="1:6">
      <c r="A78" s="27" t="str">
        <f>[4]ITEMS_Comm!A104</f>
        <v/>
      </c>
      <c r="B78" s="19" t="str">
        <f>[4]ITEMS_Comm!B104</f>
        <v>E</v>
      </c>
      <c r="C78" s="27" t="str">
        <f>[4]ITEMS_Comm!C104</f>
        <v>ICPH</v>
      </c>
      <c r="D78" s="27" t="str">
        <f>[4]ITEMS_Comm!D104</f>
        <v>Industry-Chemicals-HVAC - Electricity</v>
      </c>
      <c r="E78" s="19" t="str">
        <f>[4]ITEMS_Comm!E104</f>
        <v>PJ</v>
      </c>
      <c r="F78" s="19" t="str">
        <f>[4]ITEMS_Comm!F104</f>
        <v>COM,DEM,ANNUAL,RES</v>
      </c>
    </row>
    <row r="79" spans="1:6">
      <c r="A79" s="27" t="str">
        <f>[4]ITEMS_Comm!A105</f>
        <v/>
      </c>
      <c r="B79" s="19" t="str">
        <f>[4]ITEMS_Comm!B105</f>
        <v>E</v>
      </c>
      <c r="C79" s="27" t="str">
        <f>[4]ITEMS_Comm!C105</f>
        <v>ICPP</v>
      </c>
      <c r="D79" s="27" t="str">
        <f>[4]ITEMS_Comm!D105</f>
        <v>Industry-Chemicals-Pumping - Electricity</v>
      </c>
      <c r="E79" s="19" t="str">
        <f>[4]ITEMS_Comm!E105</f>
        <v>PJ</v>
      </c>
      <c r="F79" s="19" t="str">
        <f>[4]ITEMS_Comm!F105</f>
        <v>COM,DEM,ANNUAL,RES</v>
      </c>
    </row>
    <row r="80" spans="1:6">
      <c r="A80" s="27" t="str">
        <f>[4]ITEMS_Comm!A106</f>
        <v/>
      </c>
      <c r="B80" s="19" t="str">
        <f>[4]ITEMS_Comm!B106</f>
        <v>E</v>
      </c>
      <c r="C80" s="27" t="str">
        <f>[4]ITEMS_Comm!C106</f>
        <v>ICPF</v>
      </c>
      <c r="D80" s="27" t="str">
        <f>[4]ITEMS_Comm!D106</f>
        <v>Industry-Chemicals-Fans - Electricity</v>
      </c>
      <c r="E80" s="19" t="str">
        <f>[4]ITEMS_Comm!E106</f>
        <v>PJ</v>
      </c>
      <c r="F80" s="19" t="str">
        <f>[4]ITEMS_Comm!F106</f>
        <v>COM,DEM,ANNUAL,RES</v>
      </c>
    </row>
    <row r="81" spans="1:6">
      <c r="A81" s="27" t="str">
        <f>[4]ITEMS_Comm!A107</f>
        <v/>
      </c>
      <c r="B81" s="19" t="str">
        <f>[4]ITEMS_Comm!B107</f>
        <v>E</v>
      </c>
      <c r="C81" s="27" t="str">
        <f>[4]ITEMS_Comm!C107</f>
        <v>ICPO</v>
      </c>
      <c r="D81" s="27" t="str">
        <f>[4]ITEMS_Comm!D107</f>
        <v>Industry-Chemicals-Other motive - Electricity</v>
      </c>
      <c r="E81" s="19" t="str">
        <f>[4]ITEMS_Comm!E107</f>
        <v>PJ</v>
      </c>
      <c r="F81" s="19" t="str">
        <f>[4]ITEMS_Comm!F107</f>
        <v>COM,DEM,ANNUAL,RES</v>
      </c>
    </row>
    <row r="82" spans="1:6">
      <c r="A82" s="27" t="str">
        <f>[4]ITEMS_Comm!A108</f>
        <v/>
      </c>
      <c r="B82" s="19" t="str">
        <f>[4]ITEMS_Comm!B108</f>
        <v>E</v>
      </c>
      <c r="C82" s="27" t="str">
        <f>[4]ITEMS_Comm!C108</f>
        <v>ICPE</v>
      </c>
      <c r="D82" s="27" t="str">
        <f>[4]ITEMS_Comm!D108</f>
        <v>Industry-Chemicals-Electrochemical - Electricity</v>
      </c>
      <c r="E82" s="19" t="str">
        <f>[4]ITEMS_Comm!E108</f>
        <v>PJ</v>
      </c>
      <c r="F82" s="19" t="str">
        <f>[4]ITEMS_Comm!F108</f>
        <v>COM,DEM,ANNUAL,RES</v>
      </c>
    </row>
    <row r="83" spans="1:6">
      <c r="A83" s="27" t="str">
        <f>[4]ITEMS_Comm!A109</f>
        <v>*</v>
      </c>
      <c r="B83" s="19" t="str">
        <f>[4]ITEMS_Comm!B109</f>
        <v>E</v>
      </c>
      <c r="C83" s="27" t="str">
        <f>[4]ITEMS_Comm!C109</f>
        <v xml:space="preserve"> </v>
      </c>
      <c r="D83" s="27" t="str">
        <f>[4]ITEMS_Comm!D109</f>
        <v/>
      </c>
      <c r="E83" s="19" t="str">
        <f>[4]ITEMS_Comm!E109</f>
        <v>PJ</v>
      </c>
      <c r="F83" s="19" t="str">
        <f>[4]ITEMS_Comm!F109</f>
        <v>COM,DEM,ANNUAL,RES</v>
      </c>
    </row>
    <row r="84" spans="1:6">
      <c r="A84" s="27" t="str">
        <f>[4]ITEMS_Comm!A110</f>
        <v/>
      </c>
      <c r="B84" s="19" t="str">
        <f>[4]ITEMS_Comm!B110</f>
        <v>E</v>
      </c>
      <c r="C84" s="27" t="str">
        <f>[4]ITEMS_Comm!C110</f>
        <v>ICPS</v>
      </c>
      <c r="D84" s="27" t="str">
        <f>[4]ITEMS_Comm!D110</f>
        <v>Industry-Chemicals-boiler/process heating - Coal - Existing</v>
      </c>
      <c r="E84" s="19" t="str">
        <f>[4]ITEMS_Comm!E110</f>
        <v>PJ</v>
      </c>
      <c r="F84" s="19" t="str">
        <f>[4]ITEMS_Comm!F110</f>
        <v>COM,DEM,ANNUAL,RES</v>
      </c>
    </row>
    <row r="85" spans="1:6">
      <c r="A85" s="27" t="str">
        <f>[4]ITEMS_Comm!A111</f>
        <v/>
      </c>
      <c r="B85" s="19" t="str">
        <f>[4]ITEMS_Comm!B111</f>
        <v>E</v>
      </c>
      <c r="C85" s="27" t="str">
        <f>[4]ITEMS_Comm!C111</f>
        <v>ICPS</v>
      </c>
      <c r="D85" s="27" t="str">
        <f>[4]ITEMS_Comm!D111</f>
        <v>Industry-Chemicals-boiler/process heating - Gas - Existing</v>
      </c>
      <c r="E85" s="19" t="str">
        <f>[4]ITEMS_Comm!E111</f>
        <v>PJ</v>
      </c>
      <c r="F85" s="19" t="str">
        <f>[4]ITEMS_Comm!F111</f>
        <v>COM,DEM,ANNUAL,RES</v>
      </c>
    </row>
    <row r="86" spans="1:6">
      <c r="A86" s="27" t="str">
        <f>[4]ITEMS_Comm!A112</f>
        <v/>
      </c>
      <c r="B86" s="19" t="str">
        <f>[4]ITEMS_Comm!B112</f>
        <v>E</v>
      </c>
      <c r="C86" s="27" t="str">
        <f>[4]ITEMS_Comm!C112</f>
        <v>ICPS</v>
      </c>
      <c r="D86" s="27" t="str">
        <f>[4]ITEMS_Comm!D112</f>
        <v>Industry-Chemicals-boiler/process heating - Oil HFO - Existing</v>
      </c>
      <c r="E86" s="19" t="str">
        <f>[4]ITEMS_Comm!E112</f>
        <v>PJ</v>
      </c>
      <c r="F86" s="19" t="str">
        <f>[4]ITEMS_Comm!F112</f>
        <v>COM,DEM,ANNUAL,RES</v>
      </c>
    </row>
    <row r="87" spans="1:6">
      <c r="A87" s="27" t="str">
        <f>[4]ITEMS_Comm!A113</f>
        <v/>
      </c>
      <c r="B87" s="19" t="str">
        <f>[4]ITEMS_Comm!B113</f>
        <v>E</v>
      </c>
      <c r="C87" s="27" t="str">
        <f>[4]ITEMS_Comm!C113</f>
        <v>ICPS</v>
      </c>
      <c r="D87" s="27" t="str">
        <f>[4]ITEMS_Comm!D113</f>
        <v>Industry-Chemicals-boiler/process heating - Oil LPG - Existing</v>
      </c>
      <c r="E87" s="19" t="str">
        <f>[4]ITEMS_Comm!E113</f>
        <v>PJ</v>
      </c>
      <c r="F87" s="19" t="str">
        <f>[4]ITEMS_Comm!F113</f>
        <v>COM,DEM,ANNUAL,RES</v>
      </c>
    </row>
    <row r="88" spans="1:6">
      <c r="A88" s="27" t="str">
        <f>[4]ITEMS_Comm!A114</f>
        <v/>
      </c>
      <c r="B88" s="19" t="str">
        <f>[4]ITEMS_Comm!B114</f>
        <v>E</v>
      </c>
      <c r="C88" s="27" t="str">
        <f>[4]ITEMS_Comm!C114</f>
        <v>ICPS</v>
      </c>
      <c r="D88" s="27" t="str">
        <f>[4]ITEMS_Comm!D114</f>
        <v>Industry-Chemicals-boiler/process heating - Electricity - Existing</v>
      </c>
      <c r="E88" s="19" t="str">
        <f>[4]ITEMS_Comm!E114</f>
        <v>PJ</v>
      </c>
      <c r="F88" s="19" t="str">
        <f>[4]ITEMS_Comm!F114</f>
        <v>COM,DEM,ANNUAL,RES</v>
      </c>
    </row>
    <row r="89" spans="1:6">
      <c r="A89" s="27" t="str">
        <f>[4]ITEMS_Comm!A115</f>
        <v/>
      </c>
      <c r="B89" s="19" t="str">
        <f>[4]ITEMS_Comm!B115</f>
        <v>E</v>
      </c>
      <c r="C89" s="27" t="str">
        <f>[4]ITEMS_Comm!C115</f>
        <v>ICPS</v>
      </c>
      <c r="D89" s="27" t="str">
        <f>[4]ITEMS_Comm!D115</f>
        <v>Industry-Chemicals-boiler/process heating - Waste - Existing</v>
      </c>
      <c r="E89" s="19" t="str">
        <f>[4]ITEMS_Comm!E115</f>
        <v>PJ</v>
      </c>
      <c r="F89" s="19" t="str">
        <f>[4]ITEMS_Comm!F115</f>
        <v>COM,DEM,ANNUAL,RES</v>
      </c>
    </row>
    <row r="90" spans="1:6">
      <c r="A90" s="27" t="str">
        <f>[4]ITEMS_Comm!A116</f>
        <v>*</v>
      </c>
      <c r="B90" s="19" t="str">
        <f>[4]ITEMS_Comm!B116</f>
        <v>E</v>
      </c>
      <c r="C90" s="27">
        <f>[4]ITEMS_Comm!C116</f>
        <v>0</v>
      </c>
      <c r="D90" s="27" t="str">
        <f>[4]ITEMS_Comm!D116</f>
        <v/>
      </c>
      <c r="E90" s="19" t="str">
        <f>[4]ITEMS_Comm!E116</f>
        <v>PJ</v>
      </c>
      <c r="F90" s="19" t="str">
        <f>[4]ITEMS_Comm!F116</f>
        <v>COM,DEM,ANNUAL,RES</v>
      </c>
    </row>
    <row r="91" spans="1:6">
      <c r="A91" s="27" t="str">
        <f>[4]ITEMS_Comm!A117</f>
        <v/>
      </c>
      <c r="B91" s="19" t="str">
        <f>[4]ITEMS_Comm!B117</f>
        <v>E</v>
      </c>
      <c r="C91" s="27" t="str">
        <f>[4]ITEMS_Comm!C117</f>
        <v>ICPT</v>
      </c>
      <c r="D91" s="27" t="str">
        <f>[4]ITEMS_Comm!D117</f>
        <v>Industry-Chemicals-Ancillary - Gas - Existing</v>
      </c>
      <c r="E91" s="19" t="str">
        <f>[4]ITEMS_Comm!E117</f>
        <v>PJ</v>
      </c>
      <c r="F91" s="19" t="str">
        <f>[4]ITEMS_Comm!F117</f>
        <v>COM,DEM,ANNUAL,RES</v>
      </c>
    </row>
    <row r="92" spans="1:6">
      <c r="A92" s="27" t="str">
        <f>[4]ITEMS_Comm!A118</f>
        <v>*</v>
      </c>
      <c r="B92" s="19" t="str">
        <f>[4]ITEMS_Comm!B118</f>
        <v>E</v>
      </c>
      <c r="C92" s="27" t="str">
        <f>[4]ITEMS_Comm!C118</f>
        <v>Useful Energy Service</v>
      </c>
      <c r="D92" s="27" t="str">
        <f>[4]ITEMS_Comm!D118</f>
        <v/>
      </c>
      <c r="E92" s="19" t="str">
        <f>[4]ITEMS_Comm!E118</f>
        <v>PJ</v>
      </c>
      <c r="F92" s="19" t="str">
        <f>[4]ITEMS_Comm!F118</f>
        <v>COM,DEM,ANNUAL,RES</v>
      </c>
    </row>
    <row r="93" spans="1:6">
      <c r="A93" s="27" t="str">
        <f>[4]ITEMS_Comm!A119</f>
        <v>*</v>
      </c>
      <c r="B93" s="19" t="str">
        <f>[4]ITEMS_Comm!B119</f>
        <v>E</v>
      </c>
      <c r="C93" s="27">
        <f>[4]ITEMS_Comm!C119</f>
        <v>0</v>
      </c>
      <c r="D93" s="27" t="str">
        <f>[4]ITEMS_Comm!D119</f>
        <v/>
      </c>
      <c r="E93" s="19" t="str">
        <f>[4]ITEMS_Comm!E119</f>
        <v>PJ</v>
      </c>
      <c r="F93" s="19" t="str">
        <f>[4]ITEMS_Comm!F119</f>
        <v>COM,DEM,ANNUAL,RES</v>
      </c>
    </row>
    <row r="94" spans="1:6">
      <c r="A94" s="27" t="str">
        <f>[4]ITEMS_Comm!A120</f>
        <v>*</v>
      </c>
      <c r="B94" s="19" t="str">
        <f>[4]ITEMS_Comm!B120</f>
        <v>E</v>
      </c>
      <c r="C94" s="27">
        <f>[4]ITEMS_Comm!C120</f>
        <v>2</v>
      </c>
      <c r="D94" s="27" t="str">
        <f>[4]ITEMS_Comm!D120</f>
        <v/>
      </c>
      <c r="E94" s="19" t="str">
        <f>[4]ITEMS_Comm!E120</f>
        <v>PJ</v>
      </c>
      <c r="F94" s="19" t="str">
        <f>[4]ITEMS_Comm!F120</f>
        <v>COM,DEM,ANNUAL,RES</v>
      </c>
    </row>
    <row r="95" spans="1:6">
      <c r="A95" s="27" t="str">
        <f>[4]ITEMS_Comm!A121</f>
        <v/>
      </c>
      <c r="B95" s="19" t="str">
        <f>[4]ITEMS_Comm!B121</f>
        <v>E</v>
      </c>
      <c r="C95" s="27" t="str">
        <f>[4]ITEMS_Comm!C121</f>
        <v>INFK</v>
      </c>
      <c r="D95" s="27" t="str">
        <f>[4]ITEMS_Comm!D121</f>
        <v>Industry-Precious &amp; Non-Ferrous metals-Elec Heating - Electricity</v>
      </c>
      <c r="E95" s="19" t="str">
        <f>[4]ITEMS_Comm!E121</f>
        <v>PJ</v>
      </c>
      <c r="F95" s="19" t="str">
        <f>[4]ITEMS_Comm!F121</f>
        <v>COM,DEM,ANNUAL,RES</v>
      </c>
    </row>
    <row r="96" spans="1:6">
      <c r="A96" s="27" t="str">
        <f>[4]ITEMS_Comm!A122</f>
        <v/>
      </c>
      <c r="B96" s="19" t="str">
        <f>[4]ITEMS_Comm!B122</f>
        <v>E</v>
      </c>
      <c r="C96" s="27" t="str">
        <f>[4]ITEMS_Comm!C122</f>
        <v>INFA</v>
      </c>
      <c r="D96" s="27" t="str">
        <f>[4]ITEMS_Comm!D122</f>
        <v>Industry-Precious &amp; Non-Ferrous metals-Compressed air - Electricity</v>
      </c>
      <c r="E96" s="19" t="str">
        <f>[4]ITEMS_Comm!E122</f>
        <v>PJ</v>
      </c>
      <c r="F96" s="19" t="str">
        <f>[4]ITEMS_Comm!F122</f>
        <v>COM,DEM,ANNUAL,RES</v>
      </c>
    </row>
    <row r="97" spans="1:6">
      <c r="A97" s="27" t="str">
        <f>[4]ITEMS_Comm!A123</f>
        <v/>
      </c>
      <c r="B97" s="19" t="str">
        <f>[4]ITEMS_Comm!B123</f>
        <v>E</v>
      </c>
      <c r="C97" s="27" t="str">
        <f>[4]ITEMS_Comm!C123</f>
        <v>INFL</v>
      </c>
      <c r="D97" s="27" t="str">
        <f>[4]ITEMS_Comm!D123</f>
        <v>Industry-Precious &amp; Non-Ferrous metals-Lighting - Electricity</v>
      </c>
      <c r="E97" s="19" t="str">
        <f>[4]ITEMS_Comm!E123</f>
        <v>PJ</v>
      </c>
      <c r="F97" s="19" t="str">
        <f>[4]ITEMS_Comm!F123</f>
        <v>COM,DEM,ANNUAL,RES</v>
      </c>
    </row>
    <row r="98" spans="1:6">
      <c r="A98" s="27" t="str">
        <f>[4]ITEMS_Comm!A124</f>
        <v/>
      </c>
      <c r="B98" s="19" t="str">
        <f>[4]ITEMS_Comm!B124</f>
        <v>E</v>
      </c>
      <c r="C98" s="27" t="str">
        <f>[4]ITEMS_Comm!C124</f>
        <v>INFC</v>
      </c>
      <c r="D98" s="27" t="str">
        <f>[4]ITEMS_Comm!D124</f>
        <v>Industry-Precious &amp; Non-Ferrous metals-Cooling - Electricity</v>
      </c>
      <c r="E98" s="19" t="str">
        <f>[4]ITEMS_Comm!E124</f>
        <v>PJ</v>
      </c>
      <c r="F98" s="19" t="str">
        <f>[4]ITEMS_Comm!F124</f>
        <v>COM,DEM,ANNUAL,RES</v>
      </c>
    </row>
    <row r="99" spans="1:6">
      <c r="A99" s="27" t="str">
        <f>[4]ITEMS_Comm!A125</f>
        <v/>
      </c>
      <c r="B99" s="19" t="str">
        <f>[4]ITEMS_Comm!B125</f>
        <v>E</v>
      </c>
      <c r="C99" s="27" t="str">
        <f>[4]ITEMS_Comm!C125</f>
        <v>INFH</v>
      </c>
      <c r="D99" s="27" t="str">
        <f>[4]ITEMS_Comm!D125</f>
        <v>Industry-Precious &amp; Non-Ferrous metals-HVAC - Electricity</v>
      </c>
      <c r="E99" s="19" t="str">
        <f>[4]ITEMS_Comm!E125</f>
        <v>PJ</v>
      </c>
      <c r="F99" s="19" t="str">
        <f>[4]ITEMS_Comm!F125</f>
        <v>COM,DEM,ANNUAL,RES</v>
      </c>
    </row>
    <row r="100" spans="1:6">
      <c r="A100" s="27" t="str">
        <f>[4]ITEMS_Comm!A126</f>
        <v/>
      </c>
      <c r="B100" s="19" t="str">
        <f>[4]ITEMS_Comm!B126</f>
        <v>E</v>
      </c>
      <c r="C100" s="27" t="str">
        <f>[4]ITEMS_Comm!C126</f>
        <v>INFP</v>
      </c>
      <c r="D100" s="27" t="str">
        <f>[4]ITEMS_Comm!D126</f>
        <v>Industry-Precious &amp; Non-Ferrous metals-Pumping - Electricity</v>
      </c>
      <c r="E100" s="19" t="str">
        <f>[4]ITEMS_Comm!E126</f>
        <v>PJ</v>
      </c>
      <c r="F100" s="19" t="str">
        <f>[4]ITEMS_Comm!F126</f>
        <v>COM,DEM,ANNUAL,RES</v>
      </c>
    </row>
    <row r="101" spans="1:6">
      <c r="A101" s="27" t="str">
        <f>[4]ITEMS_Comm!A127</f>
        <v/>
      </c>
      <c r="B101" s="19" t="str">
        <f>[4]ITEMS_Comm!B127</f>
        <v>E</v>
      </c>
      <c r="C101" s="27" t="str">
        <f>[4]ITEMS_Comm!C127</f>
        <v>INFF</v>
      </c>
      <c r="D101" s="27" t="str">
        <f>[4]ITEMS_Comm!D127</f>
        <v>Industry-Precious &amp; Non-Ferrous metals-Fans - Electricity</v>
      </c>
      <c r="E101" s="19" t="str">
        <f>[4]ITEMS_Comm!E127</f>
        <v>PJ</v>
      </c>
      <c r="F101" s="19" t="str">
        <f>[4]ITEMS_Comm!F127</f>
        <v>COM,DEM,ANNUAL,RES</v>
      </c>
    </row>
    <row r="102" spans="1:6">
      <c r="A102" s="27" t="str">
        <f>[4]ITEMS_Comm!A128</f>
        <v/>
      </c>
      <c r="B102" s="19" t="str">
        <f>[4]ITEMS_Comm!B128</f>
        <v>E</v>
      </c>
      <c r="C102" s="27" t="str">
        <f>[4]ITEMS_Comm!C128</f>
        <v>INFO</v>
      </c>
      <c r="D102" s="27" t="str">
        <f>[4]ITEMS_Comm!D128</f>
        <v>Industry-Precious &amp; Non-Ferrous metals-Other motive - Electricity</v>
      </c>
      <c r="E102" s="19" t="str">
        <f>[4]ITEMS_Comm!E128</f>
        <v>PJ</v>
      </c>
      <c r="F102" s="19" t="str">
        <f>[4]ITEMS_Comm!F128</f>
        <v>COM,DEM,ANNUAL,RES</v>
      </c>
    </row>
    <row r="103" spans="1:6">
      <c r="A103" s="27" t="str">
        <f>[4]ITEMS_Comm!A129</f>
        <v/>
      </c>
      <c r="B103" s="19" t="str">
        <f>[4]ITEMS_Comm!B129</f>
        <v>E</v>
      </c>
      <c r="C103" s="27" t="str">
        <f>[4]ITEMS_Comm!C129</f>
        <v>INFE</v>
      </c>
      <c r="D103" s="27" t="str">
        <f>[4]ITEMS_Comm!D129</f>
        <v>Industry-Precious &amp; Non-Ferrous metals-Electrochemical - Electricity</v>
      </c>
      <c r="E103" s="19" t="str">
        <f>[4]ITEMS_Comm!E129</f>
        <v>PJ</v>
      </c>
      <c r="F103" s="19" t="str">
        <f>[4]ITEMS_Comm!F129</f>
        <v>COM,DEM,ANNUAL,RES</v>
      </c>
    </row>
    <row r="104" spans="1:6">
      <c r="A104" s="27" t="str">
        <f>[4]ITEMS_Comm!A130</f>
        <v>*</v>
      </c>
      <c r="B104" s="19" t="str">
        <f>[4]ITEMS_Comm!B130</f>
        <v>E</v>
      </c>
      <c r="C104" s="27" t="str">
        <f>[4]ITEMS_Comm!C130</f>
        <v xml:space="preserve"> </v>
      </c>
      <c r="D104" s="27" t="str">
        <f>[4]ITEMS_Comm!D130</f>
        <v/>
      </c>
      <c r="E104" s="19" t="str">
        <f>[4]ITEMS_Comm!E130</f>
        <v>PJ</v>
      </c>
      <c r="F104" s="19" t="str">
        <f>[4]ITEMS_Comm!F130</f>
        <v>COM,DEM,ANNUAL,RES</v>
      </c>
    </row>
    <row r="105" spans="1:6">
      <c r="A105" s="27" t="str">
        <f>[4]ITEMS_Comm!A131</f>
        <v/>
      </c>
      <c r="B105" s="19" t="str">
        <f>[4]ITEMS_Comm!B131</f>
        <v>E</v>
      </c>
      <c r="C105" s="27" t="str">
        <f>[4]ITEMS_Comm!C131</f>
        <v>INFS</v>
      </c>
      <c r="D105" s="27" t="str">
        <f>[4]ITEMS_Comm!D131</f>
        <v>Industry-Precious &amp; Non-Ferrous metals-boiler/process heating - Coal - Existing</v>
      </c>
      <c r="E105" s="19" t="str">
        <f>[4]ITEMS_Comm!E131</f>
        <v>PJ</v>
      </c>
      <c r="F105" s="19" t="str">
        <f>[4]ITEMS_Comm!F131</f>
        <v>COM,DEM,ANNUAL,RES</v>
      </c>
    </row>
    <row r="106" spans="1:6">
      <c r="A106" s="27" t="str">
        <f>[4]ITEMS_Comm!A132</f>
        <v/>
      </c>
      <c r="B106" s="19" t="str">
        <f>[4]ITEMS_Comm!B132</f>
        <v>E</v>
      </c>
      <c r="C106" s="27" t="str">
        <f>[4]ITEMS_Comm!C132</f>
        <v>INFS</v>
      </c>
      <c r="D106" s="27" t="str">
        <f>[4]ITEMS_Comm!D132</f>
        <v>Industry-Precious &amp; Non-Ferrous metals-boiler/process heating - Gas - Existing</v>
      </c>
      <c r="E106" s="19" t="str">
        <f>[4]ITEMS_Comm!E132</f>
        <v>PJ</v>
      </c>
      <c r="F106" s="19" t="str">
        <f>[4]ITEMS_Comm!F132</f>
        <v>COM,DEM,ANNUAL,RES</v>
      </c>
    </row>
    <row r="107" spans="1:6">
      <c r="A107" s="27" t="str">
        <f>[4]ITEMS_Comm!A133</f>
        <v/>
      </c>
      <c r="B107" s="19" t="str">
        <f>[4]ITEMS_Comm!B133</f>
        <v>E</v>
      </c>
      <c r="C107" s="27" t="str">
        <f>[4]ITEMS_Comm!C133</f>
        <v>INFS</v>
      </c>
      <c r="D107" s="27" t="str">
        <f>[4]ITEMS_Comm!D133</f>
        <v>Industry-Precious &amp; Non-Ferrous metals-boiler/process heating - Oil HFO - Existing</v>
      </c>
      <c r="E107" s="19" t="str">
        <f>[4]ITEMS_Comm!E133</f>
        <v>PJ</v>
      </c>
      <c r="F107" s="19" t="str">
        <f>[4]ITEMS_Comm!F133</f>
        <v>COM,DEM,ANNUAL,RES</v>
      </c>
    </row>
    <row r="108" spans="1:6">
      <c r="A108" s="27" t="str">
        <f>[4]ITEMS_Comm!A134</f>
        <v/>
      </c>
      <c r="B108" s="19" t="str">
        <f>[4]ITEMS_Comm!B134</f>
        <v>E</v>
      </c>
      <c r="C108" s="27" t="str">
        <f>[4]ITEMS_Comm!C134</f>
        <v>INFS</v>
      </c>
      <c r="D108" s="27" t="str">
        <f>[4]ITEMS_Comm!D134</f>
        <v>Industry-Precious &amp; Non-Ferrous metals-boiler/process heating - Oil LPG - Existing</v>
      </c>
      <c r="E108" s="19" t="str">
        <f>[4]ITEMS_Comm!E134</f>
        <v>PJ</v>
      </c>
      <c r="F108" s="19" t="str">
        <f>[4]ITEMS_Comm!F134</f>
        <v>COM,DEM,ANNUAL,RES</v>
      </c>
    </row>
    <row r="109" spans="1:6">
      <c r="A109" s="27" t="str">
        <f>[4]ITEMS_Comm!A135</f>
        <v/>
      </c>
      <c r="B109" s="19" t="str">
        <f>[4]ITEMS_Comm!B135</f>
        <v>E</v>
      </c>
      <c r="C109" s="27" t="str">
        <f>[4]ITEMS_Comm!C135</f>
        <v>INFS</v>
      </c>
      <c r="D109" s="27" t="str">
        <f>[4]ITEMS_Comm!D135</f>
        <v>Industry-Precious &amp; Non-Ferrous metals-boiler/process heating - Electricity - Existing</v>
      </c>
      <c r="E109" s="19" t="str">
        <f>[4]ITEMS_Comm!E135</f>
        <v>PJ</v>
      </c>
      <c r="F109" s="19" t="str">
        <f>[4]ITEMS_Comm!F135</f>
        <v>COM,DEM,ANNUAL,RES</v>
      </c>
    </row>
    <row r="110" spans="1:6">
      <c r="A110" s="27" t="str">
        <f>[4]ITEMS_Comm!A136</f>
        <v/>
      </c>
      <c r="B110" s="19" t="str">
        <f>[4]ITEMS_Comm!B136</f>
        <v>E</v>
      </c>
      <c r="C110" s="27" t="str">
        <f>[4]ITEMS_Comm!C136</f>
        <v>INFS</v>
      </c>
      <c r="D110" s="27" t="str">
        <f>[4]ITEMS_Comm!D136</f>
        <v>Industry-Precious &amp; Non-Ferrous metals-boiler/process heating - Waste - Existing</v>
      </c>
      <c r="E110" s="19" t="str">
        <f>[4]ITEMS_Comm!E136</f>
        <v>PJ</v>
      </c>
      <c r="F110" s="19" t="str">
        <f>[4]ITEMS_Comm!F136</f>
        <v>COM,DEM,ANNUAL,RES</v>
      </c>
    </row>
    <row r="111" spans="1:6">
      <c r="A111" s="27" t="str">
        <f>[4]ITEMS_Comm!A137</f>
        <v>*</v>
      </c>
      <c r="B111" s="19" t="str">
        <f>[4]ITEMS_Comm!B137</f>
        <v>E</v>
      </c>
      <c r="C111" s="27" t="str">
        <f>[4]ITEMS_Comm!C137</f>
        <v>Useful Energy Service</v>
      </c>
      <c r="D111" s="27" t="str">
        <f>[4]ITEMS_Comm!D137</f>
        <v/>
      </c>
      <c r="E111" s="19" t="str">
        <f>[4]ITEMS_Comm!E137</f>
        <v>PJ</v>
      </c>
      <c r="F111" s="19" t="str">
        <f>[4]ITEMS_Comm!F137</f>
        <v>COM,DEM,ANNUAL,RES</v>
      </c>
    </row>
    <row r="112" spans="1:6">
      <c r="A112" s="27" t="str">
        <f>[4]ITEMS_Comm!A138</f>
        <v>*</v>
      </c>
      <c r="B112" s="19" t="str">
        <f>[4]ITEMS_Comm!B138</f>
        <v>E</v>
      </c>
      <c r="C112" s="27">
        <f>[4]ITEMS_Comm!C138</f>
        <v>0</v>
      </c>
      <c r="D112" s="27" t="str">
        <f>[4]ITEMS_Comm!D138</f>
        <v/>
      </c>
      <c r="E112" s="19" t="str">
        <f>[4]ITEMS_Comm!E138</f>
        <v>PJ</v>
      </c>
      <c r="F112" s="19" t="str">
        <f>[4]ITEMS_Comm!F138</f>
        <v>COM,DEM,ANNUAL,RES</v>
      </c>
    </row>
    <row r="113" spans="1:6">
      <c r="A113" s="27" t="str">
        <f>[4]ITEMS_Comm!A139</f>
        <v>*</v>
      </c>
      <c r="B113" s="19" t="str">
        <f>[4]ITEMS_Comm!B139</f>
        <v>E</v>
      </c>
      <c r="C113" s="27">
        <f>[4]ITEMS_Comm!C139</f>
        <v>2</v>
      </c>
      <c r="D113" s="27" t="str">
        <f>[4]ITEMS_Comm!D139</f>
        <v/>
      </c>
      <c r="E113" s="19" t="str">
        <f>[4]ITEMS_Comm!E139</f>
        <v>PJ</v>
      </c>
      <c r="F113" s="19" t="str">
        <f>[4]ITEMS_Comm!F139</f>
        <v>COM,DEM,ANNUAL,RES</v>
      </c>
    </row>
    <row r="114" spans="1:6">
      <c r="A114" s="27" t="str">
        <f>[4]ITEMS_Comm!A140</f>
        <v>*</v>
      </c>
      <c r="B114" s="19" t="str">
        <f>[4]ITEMS_Comm!B140</f>
        <v>E</v>
      </c>
      <c r="C114" s="27" t="str">
        <f>[4]ITEMS_Comm!C140</f>
        <v>INMK</v>
      </c>
      <c r="D114" s="27" t="str">
        <f>[4]ITEMS_Comm!D140</f>
        <v/>
      </c>
      <c r="E114" s="19" t="str">
        <f>[4]ITEMS_Comm!E140</f>
        <v>PJ</v>
      </c>
      <c r="F114" s="19" t="str">
        <f>[4]ITEMS_Comm!F140</f>
        <v>COM,DEM,ANNUAL,RES</v>
      </c>
    </row>
    <row r="115" spans="1:6">
      <c r="A115" s="27" t="str">
        <f>[4]ITEMS_Comm!A141</f>
        <v>*</v>
      </c>
      <c r="B115" s="19" t="str">
        <f>[4]ITEMS_Comm!B141</f>
        <v>E</v>
      </c>
      <c r="C115" s="27" t="str">
        <f>[4]ITEMS_Comm!C141</f>
        <v>INMA</v>
      </c>
      <c r="D115" s="27" t="str">
        <f>[4]ITEMS_Comm!D141</f>
        <v/>
      </c>
      <c r="E115" s="19" t="str">
        <f>[4]ITEMS_Comm!E141</f>
        <v>PJ</v>
      </c>
      <c r="F115" s="19" t="str">
        <f>[4]ITEMS_Comm!F141</f>
        <v>COM,DEM,ANNUAL,RES</v>
      </c>
    </row>
    <row r="116" spans="1:6">
      <c r="A116" s="27" t="str">
        <f>[4]ITEMS_Comm!A142</f>
        <v>*</v>
      </c>
      <c r="B116" s="19" t="str">
        <f>[4]ITEMS_Comm!B142</f>
        <v>E</v>
      </c>
      <c r="C116" s="27" t="str">
        <f>[4]ITEMS_Comm!C142</f>
        <v>INML</v>
      </c>
      <c r="D116" s="27" t="str">
        <f>[4]ITEMS_Comm!D142</f>
        <v/>
      </c>
      <c r="E116" s="19" t="str">
        <f>[4]ITEMS_Comm!E142</f>
        <v>PJ</v>
      </c>
      <c r="F116" s="19" t="str">
        <f>[4]ITEMS_Comm!F142</f>
        <v>COM,DEM,ANNUAL,RES</v>
      </c>
    </row>
    <row r="117" spans="1:6">
      <c r="A117" s="27" t="str">
        <f>[4]ITEMS_Comm!A143</f>
        <v>*</v>
      </c>
      <c r="B117" s="19" t="str">
        <f>[4]ITEMS_Comm!B143</f>
        <v>E</v>
      </c>
      <c r="C117" s="27" t="str">
        <f>[4]ITEMS_Comm!C143</f>
        <v>INMC</v>
      </c>
      <c r="D117" s="27" t="str">
        <f>[4]ITEMS_Comm!D143</f>
        <v/>
      </c>
      <c r="E117" s="19" t="str">
        <f>[4]ITEMS_Comm!E143</f>
        <v>PJ</v>
      </c>
      <c r="F117" s="19" t="str">
        <f>[4]ITEMS_Comm!F143</f>
        <v>COM,DEM,ANNUAL,RES</v>
      </c>
    </row>
    <row r="118" spans="1:6">
      <c r="A118" s="27" t="str">
        <f>[4]ITEMS_Comm!A144</f>
        <v>*</v>
      </c>
      <c r="B118" s="19" t="str">
        <f>[4]ITEMS_Comm!B144</f>
        <v>E</v>
      </c>
      <c r="C118" s="27" t="str">
        <f>[4]ITEMS_Comm!C144</f>
        <v>INMH</v>
      </c>
      <c r="D118" s="27" t="str">
        <f>[4]ITEMS_Comm!D144</f>
        <v/>
      </c>
      <c r="E118" s="19" t="str">
        <f>[4]ITEMS_Comm!E144</f>
        <v>PJ</v>
      </c>
      <c r="F118" s="19" t="str">
        <f>[4]ITEMS_Comm!F144</f>
        <v>COM,DEM,ANNUAL,RES</v>
      </c>
    </row>
    <row r="119" spans="1:6">
      <c r="A119" s="27" t="str">
        <f>[4]ITEMS_Comm!A145</f>
        <v>*</v>
      </c>
      <c r="B119" s="19" t="str">
        <f>[4]ITEMS_Comm!B145</f>
        <v>E</v>
      </c>
      <c r="C119" s="27" t="str">
        <f>[4]ITEMS_Comm!C145</f>
        <v>INMP</v>
      </c>
      <c r="D119" s="27" t="str">
        <f>[4]ITEMS_Comm!D145</f>
        <v/>
      </c>
      <c r="E119" s="19" t="str">
        <f>[4]ITEMS_Comm!E145</f>
        <v>PJ</v>
      </c>
      <c r="F119" s="19" t="str">
        <f>[4]ITEMS_Comm!F145</f>
        <v>COM,DEM,ANNUAL,RES</v>
      </c>
    </row>
    <row r="120" spans="1:6">
      <c r="A120" s="27" t="str">
        <f>[4]ITEMS_Comm!A146</f>
        <v>*</v>
      </c>
      <c r="B120" s="19" t="str">
        <f>[4]ITEMS_Comm!B146</f>
        <v>E</v>
      </c>
      <c r="C120" s="27" t="str">
        <f>[4]ITEMS_Comm!C146</f>
        <v>INMF</v>
      </c>
      <c r="D120" s="27" t="str">
        <f>[4]ITEMS_Comm!D146</f>
        <v/>
      </c>
      <c r="E120" s="19" t="str">
        <f>[4]ITEMS_Comm!E146</f>
        <v>PJ</v>
      </c>
      <c r="F120" s="19" t="str">
        <f>[4]ITEMS_Comm!F146</f>
        <v>COM,DEM,ANNUAL,RES</v>
      </c>
    </row>
    <row r="121" spans="1:6">
      <c r="A121" s="27" t="str">
        <f>[4]ITEMS_Comm!A147</f>
        <v>*</v>
      </c>
      <c r="B121" s="19" t="str">
        <f>[4]ITEMS_Comm!B147</f>
        <v>E</v>
      </c>
      <c r="C121" s="27" t="str">
        <f>[4]ITEMS_Comm!C147</f>
        <v>INMO</v>
      </c>
      <c r="D121" s="27" t="str">
        <f>[4]ITEMS_Comm!D147</f>
        <v/>
      </c>
      <c r="E121" s="19" t="str">
        <f>[4]ITEMS_Comm!E147</f>
        <v>PJ</v>
      </c>
      <c r="F121" s="19" t="str">
        <f>[4]ITEMS_Comm!F147</f>
        <v>COM,DEM,ANNUAL,RES</v>
      </c>
    </row>
    <row r="122" spans="1:6">
      <c r="A122" s="27" t="str">
        <f>[4]ITEMS_Comm!A148</f>
        <v>*</v>
      </c>
      <c r="B122" s="19" t="str">
        <f>[4]ITEMS_Comm!B148</f>
        <v>E</v>
      </c>
      <c r="C122" s="27" t="str">
        <f>[4]ITEMS_Comm!C148</f>
        <v>INME</v>
      </c>
      <c r="D122" s="27" t="str">
        <f>[4]ITEMS_Comm!D148</f>
        <v/>
      </c>
      <c r="E122" s="19" t="str">
        <f>[4]ITEMS_Comm!E148</f>
        <v>PJ</v>
      </c>
      <c r="F122" s="19" t="str">
        <f>[4]ITEMS_Comm!F148</f>
        <v>COM,DEM,ANNUAL,RES</v>
      </c>
    </row>
    <row r="123" spans="1:6">
      <c r="A123" s="27" t="str">
        <f>[4]ITEMS_Comm!A149</f>
        <v>*</v>
      </c>
      <c r="B123" s="19" t="str">
        <f>[4]ITEMS_Comm!B149</f>
        <v>E</v>
      </c>
      <c r="C123" s="27" t="str">
        <f>[4]ITEMS_Comm!C149</f>
        <v xml:space="preserve"> </v>
      </c>
      <c r="D123" s="27" t="str">
        <f>[4]ITEMS_Comm!D149</f>
        <v/>
      </c>
      <c r="E123" s="19" t="str">
        <f>[4]ITEMS_Comm!E149</f>
        <v>PJ</v>
      </c>
      <c r="F123" s="19" t="str">
        <f>[4]ITEMS_Comm!F149</f>
        <v>COM,DEM,ANNUAL,RES</v>
      </c>
    </row>
    <row r="124" spans="1:6">
      <c r="A124" s="27" t="str">
        <f>[4]ITEMS_Comm!A150</f>
        <v>*</v>
      </c>
      <c r="B124" s="19" t="str">
        <f>[4]ITEMS_Comm!B150</f>
        <v>E</v>
      </c>
      <c r="C124" s="27" t="str">
        <f>[4]ITEMS_Comm!C150</f>
        <v>INMS</v>
      </c>
      <c r="D124" s="27" t="str">
        <f>[4]ITEMS_Comm!D150</f>
        <v/>
      </c>
      <c r="E124" s="19" t="str">
        <f>[4]ITEMS_Comm!E150</f>
        <v>PJ</v>
      </c>
      <c r="F124" s="19" t="str">
        <f>[4]ITEMS_Comm!F150</f>
        <v>COM,DEM,ANNUAL,RES</v>
      </c>
    </row>
    <row r="125" spans="1:6">
      <c r="A125" s="27" t="str">
        <f>[4]ITEMS_Comm!A151</f>
        <v>*</v>
      </c>
      <c r="B125" s="19" t="str">
        <f>[4]ITEMS_Comm!B151</f>
        <v>E</v>
      </c>
      <c r="C125" s="27" t="str">
        <f>[4]ITEMS_Comm!C151</f>
        <v>INMS</v>
      </c>
      <c r="D125" s="27" t="str">
        <f>[4]ITEMS_Comm!D151</f>
        <v/>
      </c>
      <c r="E125" s="19" t="str">
        <f>[4]ITEMS_Comm!E151</f>
        <v>PJ</v>
      </c>
      <c r="F125" s="19" t="str">
        <f>[4]ITEMS_Comm!F151</f>
        <v>COM,DEM,ANNUAL,RES</v>
      </c>
    </row>
    <row r="126" spans="1:6">
      <c r="A126" s="27" t="str">
        <f>[4]ITEMS_Comm!A152</f>
        <v>*</v>
      </c>
      <c r="B126" s="19" t="str">
        <f>[4]ITEMS_Comm!B152</f>
        <v>E</v>
      </c>
      <c r="C126" s="27" t="str">
        <f>[4]ITEMS_Comm!C152</f>
        <v>INMS</v>
      </c>
      <c r="D126" s="27" t="str">
        <f>[4]ITEMS_Comm!D152</f>
        <v/>
      </c>
      <c r="E126" s="19" t="str">
        <f>[4]ITEMS_Comm!E152</f>
        <v>PJ</v>
      </c>
      <c r="F126" s="19" t="str">
        <f>[4]ITEMS_Comm!F152</f>
        <v>COM,DEM,ANNUAL,RES</v>
      </c>
    </row>
    <row r="127" spans="1:6">
      <c r="A127" s="27" t="str">
        <f>[4]ITEMS_Comm!A153</f>
        <v>*</v>
      </c>
      <c r="B127" s="19" t="str">
        <f>[4]ITEMS_Comm!B153</f>
        <v>E</v>
      </c>
      <c r="C127" s="27" t="str">
        <f>[4]ITEMS_Comm!C153</f>
        <v>INMS</v>
      </c>
      <c r="D127" s="27" t="str">
        <f>[4]ITEMS_Comm!D153</f>
        <v/>
      </c>
      <c r="E127" s="19" t="str">
        <f>[4]ITEMS_Comm!E153</f>
        <v>PJ</v>
      </c>
      <c r="F127" s="19" t="str">
        <f>[4]ITEMS_Comm!F153</f>
        <v>COM,DEM,ANNUAL,RES</v>
      </c>
    </row>
    <row r="128" spans="1:6">
      <c r="A128" s="27" t="str">
        <f>[4]ITEMS_Comm!A154</f>
        <v>*</v>
      </c>
      <c r="B128" s="19" t="str">
        <f>[4]ITEMS_Comm!B154</f>
        <v>E</v>
      </c>
      <c r="C128" s="27" t="str">
        <f>[4]ITEMS_Comm!C154</f>
        <v>INMS</v>
      </c>
      <c r="D128" s="27" t="str">
        <f>[4]ITEMS_Comm!D154</f>
        <v/>
      </c>
      <c r="E128" s="19" t="str">
        <f>[4]ITEMS_Comm!E154</f>
        <v>PJ</v>
      </c>
      <c r="F128" s="19" t="str">
        <f>[4]ITEMS_Comm!F154</f>
        <v>COM,DEM,ANNUAL,RES</v>
      </c>
    </row>
    <row r="129" spans="1:6">
      <c r="A129" s="27" t="str">
        <f>[4]ITEMS_Comm!A155</f>
        <v>*</v>
      </c>
      <c r="B129" s="19" t="str">
        <f>[4]ITEMS_Comm!B155</f>
        <v>E</v>
      </c>
      <c r="C129" s="27" t="str">
        <f>[4]ITEMS_Comm!C155</f>
        <v>INMS</v>
      </c>
      <c r="D129" s="27" t="str">
        <f>[4]ITEMS_Comm!D155</f>
        <v/>
      </c>
      <c r="E129" s="19" t="str">
        <f>[4]ITEMS_Comm!E155</f>
        <v>PJ</v>
      </c>
      <c r="F129" s="19" t="str">
        <f>[4]ITEMS_Comm!F155</f>
        <v>COM,DEM,ANNUAL,RES</v>
      </c>
    </row>
    <row r="130" spans="1:6">
      <c r="A130" s="27" t="str">
        <f>[4]ITEMS_Comm!A156</f>
        <v>*</v>
      </c>
      <c r="B130" s="19" t="str">
        <f>[4]ITEMS_Comm!B156</f>
        <v>E</v>
      </c>
      <c r="C130" s="27" t="str">
        <f>[4]ITEMS_Comm!C156</f>
        <v>Useful Energy Service</v>
      </c>
      <c r="D130" s="27" t="str">
        <f>[4]ITEMS_Comm!D156</f>
        <v/>
      </c>
      <c r="E130" s="19" t="str">
        <f>[4]ITEMS_Comm!E156</f>
        <v>PJ</v>
      </c>
      <c r="F130" s="19" t="str">
        <f>[4]ITEMS_Comm!F156</f>
        <v>COM,DEM,ANNUAL,RES</v>
      </c>
    </row>
    <row r="131" spans="1:6">
      <c r="A131" s="27" t="str">
        <f>[4]ITEMS_Comm!A157</f>
        <v>*</v>
      </c>
      <c r="B131" s="19" t="str">
        <f>[4]ITEMS_Comm!B157</f>
        <v>E</v>
      </c>
      <c r="C131" s="27">
        <f>[4]ITEMS_Comm!C157</f>
        <v>0</v>
      </c>
      <c r="D131" s="27" t="str">
        <f>[4]ITEMS_Comm!D157</f>
        <v/>
      </c>
      <c r="E131" s="19" t="str">
        <f>[4]ITEMS_Comm!E157</f>
        <v>PJ</v>
      </c>
      <c r="F131" s="19" t="str">
        <f>[4]ITEMS_Comm!F157</f>
        <v>COM,DEM,ANNUAL,RES</v>
      </c>
    </row>
    <row r="132" spans="1:6">
      <c r="A132" s="27" t="str">
        <f>[4]ITEMS_Comm!A158</f>
        <v>*</v>
      </c>
      <c r="B132" s="19" t="str">
        <f>[4]ITEMS_Comm!B158</f>
        <v>E</v>
      </c>
      <c r="C132" s="27">
        <f>[4]ITEMS_Comm!C158</f>
        <v>2</v>
      </c>
      <c r="D132" s="27" t="str">
        <f>[4]ITEMS_Comm!D158</f>
        <v/>
      </c>
      <c r="E132" s="19" t="str">
        <f>[4]ITEMS_Comm!E158</f>
        <v>PJ</v>
      </c>
      <c r="F132" s="19" t="str">
        <f>[4]ITEMS_Comm!F158</f>
        <v>COM,DEM,ANNUAL,RES</v>
      </c>
    </row>
    <row r="133" spans="1:6">
      <c r="A133" s="27" t="str">
        <f>[4]ITEMS_Comm!A159</f>
        <v/>
      </c>
      <c r="B133" s="19" t="str">
        <f>[4]ITEMS_Comm!B159</f>
        <v>E</v>
      </c>
      <c r="C133" s="27" t="str">
        <f>[4]ITEMS_Comm!C159</f>
        <v>IFBK</v>
      </c>
      <c r="D133" s="27" t="str">
        <f>[4]ITEMS_Comm!D159</f>
        <v>Industry-Food, Beverage &amp; Tabacco-Elec Heating - Electricity</v>
      </c>
      <c r="E133" s="19" t="str">
        <f>[4]ITEMS_Comm!E159</f>
        <v>PJ</v>
      </c>
      <c r="F133" s="19" t="str">
        <f>[4]ITEMS_Comm!F159</f>
        <v>COM,DEM,ANNUAL,RES</v>
      </c>
    </row>
    <row r="134" spans="1:6">
      <c r="A134" s="27" t="str">
        <f>[4]ITEMS_Comm!A160</f>
        <v/>
      </c>
      <c r="B134" s="19" t="str">
        <f>[4]ITEMS_Comm!B160</f>
        <v>E</v>
      </c>
      <c r="C134" s="27" t="str">
        <f>[4]ITEMS_Comm!C160</f>
        <v>IFBA</v>
      </c>
      <c r="D134" s="27" t="str">
        <f>[4]ITEMS_Comm!D160</f>
        <v>Industry-Food, Beverage &amp; Tabacco-Compressed air - Electricity</v>
      </c>
      <c r="E134" s="19" t="str">
        <f>[4]ITEMS_Comm!E160</f>
        <v>PJ</v>
      </c>
      <c r="F134" s="19" t="str">
        <f>[4]ITEMS_Comm!F160</f>
        <v>COM,DEM,ANNUAL,RES</v>
      </c>
    </row>
    <row r="135" spans="1:6">
      <c r="A135" s="27" t="str">
        <f>[4]ITEMS_Comm!A161</f>
        <v/>
      </c>
      <c r="B135" s="19" t="str">
        <f>[4]ITEMS_Comm!B161</f>
        <v>E</v>
      </c>
      <c r="C135" s="27" t="str">
        <f>[4]ITEMS_Comm!C161</f>
        <v>IFBL</v>
      </c>
      <c r="D135" s="27" t="str">
        <f>[4]ITEMS_Comm!D161</f>
        <v>Industry-Food, Beverage &amp; Tabacco-Lighting - Electricity</v>
      </c>
      <c r="E135" s="19" t="str">
        <f>[4]ITEMS_Comm!E161</f>
        <v>PJ</v>
      </c>
      <c r="F135" s="19" t="str">
        <f>[4]ITEMS_Comm!F161</f>
        <v>COM,DEM,ANNUAL,RES</v>
      </c>
    </row>
    <row r="136" spans="1:6">
      <c r="A136" s="27" t="str">
        <f>[4]ITEMS_Comm!A162</f>
        <v/>
      </c>
      <c r="B136" s="19" t="str">
        <f>[4]ITEMS_Comm!B162</f>
        <v>E</v>
      </c>
      <c r="C136" s="27" t="str">
        <f>[4]ITEMS_Comm!C162</f>
        <v>IFBC</v>
      </c>
      <c r="D136" s="27" t="str">
        <f>[4]ITEMS_Comm!D162</f>
        <v>Industry-Food, Beverage &amp; Tabacco-Cooling - Electricity</v>
      </c>
      <c r="E136" s="19" t="str">
        <f>[4]ITEMS_Comm!E162</f>
        <v>PJ</v>
      </c>
      <c r="F136" s="19" t="str">
        <f>[4]ITEMS_Comm!F162</f>
        <v>COM,DEM,ANNUAL,RES</v>
      </c>
    </row>
    <row r="137" spans="1:6">
      <c r="A137" s="27" t="str">
        <f>[4]ITEMS_Comm!A163</f>
        <v/>
      </c>
      <c r="B137" s="19" t="str">
        <f>[4]ITEMS_Comm!B163</f>
        <v>E</v>
      </c>
      <c r="C137" s="27" t="str">
        <f>[4]ITEMS_Comm!C163</f>
        <v>IFBH</v>
      </c>
      <c r="D137" s="27" t="str">
        <f>[4]ITEMS_Comm!D163</f>
        <v>Industry-Food, Beverage &amp; Tabacco-HVAC - Electricity</v>
      </c>
      <c r="E137" s="19" t="str">
        <f>[4]ITEMS_Comm!E163</f>
        <v>PJ</v>
      </c>
      <c r="F137" s="19" t="str">
        <f>[4]ITEMS_Comm!F163</f>
        <v>COM,DEM,ANNUAL,RES</v>
      </c>
    </row>
    <row r="138" spans="1:6">
      <c r="A138" s="27" t="str">
        <f>[4]ITEMS_Comm!A164</f>
        <v/>
      </c>
      <c r="B138" s="19" t="str">
        <f>[4]ITEMS_Comm!B164</f>
        <v>E</v>
      </c>
      <c r="C138" s="27" t="str">
        <f>[4]ITEMS_Comm!C164</f>
        <v>IFBP</v>
      </c>
      <c r="D138" s="27" t="str">
        <f>[4]ITEMS_Comm!D164</f>
        <v>Industry-Food, Beverage &amp; Tabacco-Pumping - Electricity</v>
      </c>
      <c r="E138" s="19" t="str">
        <f>[4]ITEMS_Comm!E164</f>
        <v>PJ</v>
      </c>
      <c r="F138" s="19" t="str">
        <f>[4]ITEMS_Comm!F164</f>
        <v>COM,DEM,ANNUAL,RES</v>
      </c>
    </row>
    <row r="139" spans="1:6">
      <c r="A139" s="27" t="str">
        <f>[4]ITEMS_Comm!A165</f>
        <v/>
      </c>
      <c r="B139" s="19" t="str">
        <f>[4]ITEMS_Comm!B165</f>
        <v>E</v>
      </c>
      <c r="C139" s="27" t="str">
        <f>[4]ITEMS_Comm!C165</f>
        <v>IFBF</v>
      </c>
      <c r="D139" s="27" t="str">
        <f>[4]ITEMS_Comm!D165</f>
        <v>Industry-Food, Beverage &amp; Tabacco-Fans - Electricity</v>
      </c>
      <c r="E139" s="19" t="str">
        <f>[4]ITEMS_Comm!E165</f>
        <v>PJ</v>
      </c>
      <c r="F139" s="19" t="str">
        <f>[4]ITEMS_Comm!F165</f>
        <v>COM,DEM,ANNUAL,RES</v>
      </c>
    </row>
    <row r="140" spans="1:6">
      <c r="A140" s="27" t="str">
        <f>[4]ITEMS_Comm!A166</f>
        <v/>
      </c>
      <c r="B140" s="19" t="str">
        <f>[4]ITEMS_Comm!B166</f>
        <v>E</v>
      </c>
      <c r="C140" s="27" t="str">
        <f>[4]ITEMS_Comm!C166</f>
        <v>IFBO</v>
      </c>
      <c r="D140" s="27" t="str">
        <f>[4]ITEMS_Comm!D166</f>
        <v>Industry-Food, Beverage &amp; Tabacco-Other motive - Electricity</v>
      </c>
      <c r="E140" s="19" t="str">
        <f>[4]ITEMS_Comm!E166</f>
        <v>PJ</v>
      </c>
      <c r="F140" s="19" t="str">
        <f>[4]ITEMS_Comm!F166</f>
        <v>COM,DEM,ANNUAL,RES</v>
      </c>
    </row>
    <row r="141" spans="1:6">
      <c r="A141" s="27" t="str">
        <f>[4]ITEMS_Comm!A167</f>
        <v/>
      </c>
      <c r="B141" s="19" t="str">
        <f>[4]ITEMS_Comm!B167</f>
        <v>E</v>
      </c>
      <c r="C141" s="27" t="str">
        <f>[4]ITEMS_Comm!C167</f>
        <v>IFBE</v>
      </c>
      <c r="D141" s="27" t="str">
        <f>[4]ITEMS_Comm!D167</f>
        <v>Industry-Food, Beverage &amp; Tabacco-Electrochemical - Electricity</v>
      </c>
      <c r="E141" s="19" t="str">
        <f>[4]ITEMS_Comm!E167</f>
        <v>PJ</v>
      </c>
      <c r="F141" s="19" t="str">
        <f>[4]ITEMS_Comm!F167</f>
        <v>COM,DEM,ANNUAL,RES</v>
      </c>
    </row>
    <row r="142" spans="1:6">
      <c r="A142" s="27" t="str">
        <f>[4]ITEMS_Comm!A168</f>
        <v>*</v>
      </c>
      <c r="B142" s="19" t="str">
        <f>[4]ITEMS_Comm!B168</f>
        <v>E</v>
      </c>
      <c r="C142" s="27" t="str">
        <f>[4]ITEMS_Comm!C168</f>
        <v xml:space="preserve"> </v>
      </c>
      <c r="D142" s="27" t="str">
        <f>[4]ITEMS_Comm!D168</f>
        <v/>
      </c>
      <c r="E142" s="19" t="str">
        <f>[4]ITEMS_Comm!E168</f>
        <v>PJ</v>
      </c>
      <c r="F142" s="19" t="str">
        <f>[4]ITEMS_Comm!F168</f>
        <v>COM,DEM,ANNUAL,RES</v>
      </c>
    </row>
    <row r="143" spans="1:6">
      <c r="A143" s="27" t="str">
        <f>[4]ITEMS_Comm!A169</f>
        <v/>
      </c>
      <c r="B143" s="19" t="str">
        <f>[4]ITEMS_Comm!B169</f>
        <v>E</v>
      </c>
      <c r="C143" s="27" t="str">
        <f>[4]ITEMS_Comm!C169</f>
        <v>IFBS</v>
      </c>
      <c r="D143" s="27" t="str">
        <f>[4]ITEMS_Comm!D169</f>
        <v>Industry-Food, Beverage &amp; Tabacco-boiler/process heating - Coal - Existing</v>
      </c>
      <c r="E143" s="19" t="str">
        <f>[4]ITEMS_Comm!E169</f>
        <v>PJ</v>
      </c>
      <c r="F143" s="19" t="str">
        <f>[4]ITEMS_Comm!F169</f>
        <v>COM,DEM,ANNUAL,RES</v>
      </c>
    </row>
    <row r="144" spans="1:6">
      <c r="A144" s="27" t="str">
        <f>[4]ITEMS_Comm!A170</f>
        <v/>
      </c>
      <c r="B144" s="19" t="str">
        <f>[4]ITEMS_Comm!B170</f>
        <v>E</v>
      </c>
      <c r="C144" s="27" t="str">
        <f>[4]ITEMS_Comm!C170</f>
        <v>IFBS</v>
      </c>
      <c r="D144" s="27" t="str">
        <f>[4]ITEMS_Comm!D170</f>
        <v>Industry-Food, Beverage &amp; Tabacco-boiler/process heating - Gas - Existing</v>
      </c>
      <c r="E144" s="19" t="str">
        <f>[4]ITEMS_Comm!E170</f>
        <v>PJ</v>
      </c>
      <c r="F144" s="19" t="str">
        <f>[4]ITEMS_Comm!F170</f>
        <v>COM,DEM,ANNUAL,RES</v>
      </c>
    </row>
    <row r="145" spans="1:6">
      <c r="A145" s="27" t="str">
        <f>[4]ITEMS_Comm!A171</f>
        <v/>
      </c>
      <c r="B145" s="19" t="str">
        <f>[4]ITEMS_Comm!B171</f>
        <v>E</v>
      </c>
      <c r="C145" s="27" t="str">
        <f>[4]ITEMS_Comm!C171</f>
        <v>IFBS</v>
      </c>
      <c r="D145" s="27" t="str">
        <f>[4]ITEMS_Comm!D171</f>
        <v>Industry-Food, Beverage &amp; Tabacco-boiler/process heating - Oil HFO - Existing</v>
      </c>
      <c r="E145" s="19" t="str">
        <f>[4]ITEMS_Comm!E171</f>
        <v>PJ</v>
      </c>
      <c r="F145" s="19" t="str">
        <f>[4]ITEMS_Comm!F171</f>
        <v>COM,DEM,ANNUAL,RES</v>
      </c>
    </row>
    <row r="146" spans="1:6">
      <c r="A146" s="27" t="str">
        <f>[4]ITEMS_Comm!A172</f>
        <v/>
      </c>
      <c r="B146" s="19" t="str">
        <f>[4]ITEMS_Comm!B172</f>
        <v>E</v>
      </c>
      <c r="C146" s="27" t="str">
        <f>[4]ITEMS_Comm!C172</f>
        <v>IFBS</v>
      </c>
      <c r="D146" s="27" t="str">
        <f>[4]ITEMS_Comm!D172</f>
        <v>Industry-Food, Beverage &amp; Tabacco-boiler/process heating - Oil LPG - Existing</v>
      </c>
      <c r="E146" s="19" t="str">
        <f>[4]ITEMS_Comm!E172</f>
        <v>PJ</v>
      </c>
      <c r="F146" s="19" t="str">
        <f>[4]ITEMS_Comm!F172</f>
        <v>COM,DEM,ANNUAL,RES</v>
      </c>
    </row>
    <row r="147" spans="1:6">
      <c r="A147" s="27" t="str">
        <f>[4]ITEMS_Comm!A173</f>
        <v/>
      </c>
      <c r="B147" s="19" t="str">
        <f>[4]ITEMS_Comm!B173</f>
        <v>E</v>
      </c>
      <c r="C147" s="27" t="str">
        <f>[4]ITEMS_Comm!C173</f>
        <v>IFBS</v>
      </c>
      <c r="D147" s="27" t="str">
        <f>[4]ITEMS_Comm!D173</f>
        <v>Industry-Food, Beverage &amp; Tabacco-boiler/process heating - Electricity - Existing</v>
      </c>
      <c r="E147" s="19" t="str">
        <f>[4]ITEMS_Comm!E173</f>
        <v>PJ</v>
      </c>
      <c r="F147" s="19" t="str">
        <f>[4]ITEMS_Comm!F173</f>
        <v>COM,DEM,ANNUAL,RES</v>
      </c>
    </row>
    <row r="148" spans="1:6">
      <c r="A148" s="27" t="str">
        <f>[4]ITEMS_Comm!A174</f>
        <v/>
      </c>
      <c r="B148" s="19" t="str">
        <f>[4]ITEMS_Comm!B174</f>
        <v>E</v>
      </c>
      <c r="C148" s="27" t="str">
        <f>[4]ITEMS_Comm!C174</f>
        <v>IFBS</v>
      </c>
      <c r="D148" s="27" t="str">
        <f>[4]ITEMS_Comm!D174</f>
        <v>Industry-Food, Beverage &amp; Tabacco-boiler/process heating - Biomass bagasse - Existing</v>
      </c>
      <c r="E148" s="19" t="str">
        <f>[4]ITEMS_Comm!E174</f>
        <v>PJ</v>
      </c>
      <c r="F148" s="19" t="str">
        <f>[4]ITEMS_Comm!F174</f>
        <v>COM,DEM,ANNUAL,RES</v>
      </c>
    </row>
    <row r="149" spans="1:6">
      <c r="A149" s="27" t="str">
        <f>[4]ITEMS_Comm!A175</f>
        <v/>
      </c>
      <c r="B149" s="19" t="str">
        <f>[4]ITEMS_Comm!B175</f>
        <v>E</v>
      </c>
      <c r="C149" s="27" t="str">
        <f>[4]ITEMS_Comm!C175</f>
        <v>IFBS</v>
      </c>
      <c r="D149" s="27" t="str">
        <f>[4]ITEMS_Comm!D175</f>
        <v>Industry-Food, Beverage &amp; Tabacco-boiler/process heating - Waste - Existing</v>
      </c>
      <c r="E149" s="19" t="str">
        <f>[4]ITEMS_Comm!E175</f>
        <v>PJ</v>
      </c>
      <c r="F149" s="19" t="str">
        <f>[4]ITEMS_Comm!F175</f>
        <v>COM,DEM,ANNUAL,RES</v>
      </c>
    </row>
    <row r="150" spans="1:6">
      <c r="A150" s="27" t="str">
        <f>[4]ITEMS_Comm!A176</f>
        <v>*</v>
      </c>
      <c r="B150" s="19" t="str">
        <f>[4]ITEMS_Comm!B176</f>
        <v>E</v>
      </c>
      <c r="C150" s="27" t="str">
        <f>[4]ITEMS_Comm!C176</f>
        <v>Useful Energy Service</v>
      </c>
      <c r="D150" s="27" t="str">
        <f>[4]ITEMS_Comm!D176</f>
        <v/>
      </c>
      <c r="E150" s="19" t="str">
        <f>[4]ITEMS_Comm!E176</f>
        <v>PJ</v>
      </c>
      <c r="F150" s="19" t="str">
        <f>[4]ITEMS_Comm!F176</f>
        <v>COM,DEM,ANNUAL,RES</v>
      </c>
    </row>
    <row r="151" spans="1:6">
      <c r="A151" s="27" t="str">
        <f>[4]ITEMS_Comm!A177</f>
        <v>*</v>
      </c>
      <c r="B151" s="19" t="str">
        <f>[4]ITEMS_Comm!B177</f>
        <v>E</v>
      </c>
      <c r="C151" s="27">
        <f>[4]ITEMS_Comm!C177</f>
        <v>0</v>
      </c>
      <c r="D151" s="27" t="str">
        <f>[4]ITEMS_Comm!D177</f>
        <v/>
      </c>
      <c r="E151" s="19" t="str">
        <f>[4]ITEMS_Comm!E177</f>
        <v>PJ</v>
      </c>
      <c r="F151" s="19" t="str">
        <f>[4]ITEMS_Comm!F177</f>
        <v>COM,DEM,ANNUAL,RES</v>
      </c>
    </row>
    <row r="152" spans="1:6">
      <c r="A152" s="27" t="str">
        <f>[4]ITEMS_Comm!A178</f>
        <v>*</v>
      </c>
      <c r="B152" s="19" t="str">
        <f>[4]ITEMS_Comm!B178</f>
        <v>E</v>
      </c>
      <c r="C152" s="27">
        <f>[4]ITEMS_Comm!C178</f>
        <v>2</v>
      </c>
      <c r="D152" s="27" t="str">
        <f>[4]ITEMS_Comm!D178</f>
        <v/>
      </c>
      <c r="E152" s="19" t="str">
        <f>[4]ITEMS_Comm!E178</f>
        <v>PJ</v>
      </c>
      <c r="F152" s="19" t="str">
        <f>[4]ITEMS_Comm!F178</f>
        <v>COM,DEM,ANNUAL,RES</v>
      </c>
    </row>
    <row r="153" spans="1:6">
      <c r="A153" s="27" t="str">
        <f>[4]ITEMS_Comm!A179</f>
        <v>*</v>
      </c>
      <c r="B153" s="19" t="str">
        <f>[4]ITEMS_Comm!B179</f>
        <v>E</v>
      </c>
      <c r="C153" s="27" t="str">
        <f>[4]ITEMS_Comm!C179</f>
        <v>IPPK</v>
      </c>
      <c r="D153" s="27" t="str">
        <f>[4]ITEMS_Comm!D179</f>
        <v/>
      </c>
      <c r="E153" s="19" t="str">
        <f>[4]ITEMS_Comm!E179</f>
        <v>PJ</v>
      </c>
      <c r="F153" s="19" t="str">
        <f>[4]ITEMS_Comm!F179</f>
        <v>COM,DEM,ANNUAL,RES</v>
      </c>
    </row>
    <row r="154" spans="1:6">
      <c r="A154" s="27" t="str">
        <f>[4]ITEMS_Comm!A180</f>
        <v>*</v>
      </c>
      <c r="B154" s="19" t="str">
        <f>[4]ITEMS_Comm!B180</f>
        <v>E</v>
      </c>
      <c r="C154" s="27" t="str">
        <f>[4]ITEMS_Comm!C180</f>
        <v>IPPA</v>
      </c>
      <c r="D154" s="27" t="str">
        <f>[4]ITEMS_Comm!D180</f>
        <v/>
      </c>
      <c r="E154" s="19" t="str">
        <f>[4]ITEMS_Comm!E180</f>
        <v>PJ</v>
      </c>
      <c r="F154" s="19" t="str">
        <f>[4]ITEMS_Comm!F180</f>
        <v>COM,DEM,ANNUAL,RES</v>
      </c>
    </row>
    <row r="155" spans="1:6">
      <c r="A155" s="27" t="str">
        <f>[4]ITEMS_Comm!A181</f>
        <v>*</v>
      </c>
      <c r="B155" s="19" t="str">
        <f>[4]ITEMS_Comm!B181</f>
        <v>E</v>
      </c>
      <c r="C155" s="27" t="str">
        <f>[4]ITEMS_Comm!C181</f>
        <v>IPPL</v>
      </c>
      <c r="D155" s="27" t="str">
        <f>[4]ITEMS_Comm!D181</f>
        <v/>
      </c>
      <c r="E155" s="19" t="str">
        <f>[4]ITEMS_Comm!E181</f>
        <v>PJ</v>
      </c>
      <c r="F155" s="19" t="str">
        <f>[4]ITEMS_Comm!F181</f>
        <v>COM,DEM,ANNUAL,RES</v>
      </c>
    </row>
    <row r="156" spans="1:6">
      <c r="A156" s="27" t="str">
        <f>[4]ITEMS_Comm!A182</f>
        <v>*</v>
      </c>
      <c r="B156" s="19" t="str">
        <f>[4]ITEMS_Comm!B182</f>
        <v>E</v>
      </c>
      <c r="C156" s="27" t="str">
        <f>[4]ITEMS_Comm!C182</f>
        <v>IPPC</v>
      </c>
      <c r="D156" s="27" t="str">
        <f>[4]ITEMS_Comm!D182</f>
        <v/>
      </c>
      <c r="E156" s="19" t="str">
        <f>[4]ITEMS_Comm!E182</f>
        <v>PJ</v>
      </c>
      <c r="F156" s="19" t="str">
        <f>[4]ITEMS_Comm!F182</f>
        <v>COM,DEM,ANNUAL,RES</v>
      </c>
    </row>
    <row r="157" spans="1:6">
      <c r="A157" s="27" t="str">
        <f>[4]ITEMS_Comm!A183</f>
        <v>*</v>
      </c>
      <c r="B157" s="19" t="str">
        <f>[4]ITEMS_Comm!B183</f>
        <v>E</v>
      </c>
      <c r="C157" s="27" t="str">
        <f>[4]ITEMS_Comm!C183</f>
        <v>IPPH</v>
      </c>
      <c r="D157" s="27" t="str">
        <f>[4]ITEMS_Comm!D183</f>
        <v/>
      </c>
      <c r="E157" s="19" t="str">
        <f>[4]ITEMS_Comm!E183</f>
        <v>PJ</v>
      </c>
      <c r="F157" s="19" t="str">
        <f>[4]ITEMS_Comm!F183</f>
        <v>COM,DEM,ANNUAL,RES</v>
      </c>
    </row>
    <row r="158" spans="1:6">
      <c r="A158" s="27" t="str">
        <f>[4]ITEMS_Comm!A184</f>
        <v>*</v>
      </c>
      <c r="B158" s="19" t="str">
        <f>[4]ITEMS_Comm!B184</f>
        <v>E</v>
      </c>
      <c r="C158" s="27" t="str">
        <f>[4]ITEMS_Comm!C184</f>
        <v>IPPP</v>
      </c>
      <c r="D158" s="27" t="str">
        <f>[4]ITEMS_Comm!D184</f>
        <v/>
      </c>
      <c r="E158" s="19" t="str">
        <f>[4]ITEMS_Comm!E184</f>
        <v>PJ</v>
      </c>
      <c r="F158" s="19" t="str">
        <f>[4]ITEMS_Comm!F184</f>
        <v>COM,DEM,ANNUAL,RES</v>
      </c>
    </row>
    <row r="159" spans="1:6">
      <c r="A159" s="27" t="str">
        <f>[4]ITEMS_Comm!A185</f>
        <v>*</v>
      </c>
      <c r="B159" s="19" t="str">
        <f>[4]ITEMS_Comm!B185</f>
        <v>E</v>
      </c>
      <c r="C159" s="27" t="str">
        <f>[4]ITEMS_Comm!C185</f>
        <v>IPPF</v>
      </c>
      <c r="D159" s="27" t="str">
        <f>[4]ITEMS_Comm!D185</f>
        <v/>
      </c>
      <c r="E159" s="19" t="str">
        <f>[4]ITEMS_Comm!E185</f>
        <v>PJ</v>
      </c>
      <c r="F159" s="19" t="str">
        <f>[4]ITEMS_Comm!F185</f>
        <v>COM,DEM,ANNUAL,RES</v>
      </c>
    </row>
    <row r="160" spans="1:6">
      <c r="A160" s="27" t="str">
        <f>[4]ITEMS_Comm!A186</f>
        <v>*</v>
      </c>
      <c r="B160" s="19" t="str">
        <f>[4]ITEMS_Comm!B186</f>
        <v>E</v>
      </c>
      <c r="C160" s="27" t="str">
        <f>[4]ITEMS_Comm!C186</f>
        <v>IPPO</v>
      </c>
      <c r="D160" s="27" t="str">
        <f>[4]ITEMS_Comm!D186</f>
        <v/>
      </c>
      <c r="E160" s="19" t="str">
        <f>[4]ITEMS_Comm!E186</f>
        <v>PJ</v>
      </c>
      <c r="F160" s="19" t="str">
        <f>[4]ITEMS_Comm!F186</f>
        <v>COM,DEM,ANNUAL,RES</v>
      </c>
    </row>
    <row r="161" spans="1:6">
      <c r="A161" s="27" t="str">
        <f>[4]ITEMS_Comm!A187</f>
        <v>*</v>
      </c>
      <c r="B161" s="19" t="str">
        <f>[4]ITEMS_Comm!B187</f>
        <v>E</v>
      </c>
      <c r="C161" s="27" t="str">
        <f>[4]ITEMS_Comm!C187</f>
        <v>IPPE</v>
      </c>
      <c r="D161" s="27" t="str">
        <f>[4]ITEMS_Comm!D187</f>
        <v/>
      </c>
      <c r="E161" s="19" t="str">
        <f>[4]ITEMS_Comm!E187</f>
        <v>PJ</v>
      </c>
      <c r="F161" s="19" t="str">
        <f>[4]ITEMS_Comm!F187</f>
        <v>COM,DEM,ANNUAL,RES</v>
      </c>
    </row>
    <row r="162" spans="1:6">
      <c r="A162" s="27" t="str">
        <f>[4]ITEMS_Comm!A188</f>
        <v>*</v>
      </c>
      <c r="B162" s="19" t="str">
        <f>[4]ITEMS_Comm!B188</f>
        <v>E</v>
      </c>
      <c r="C162" s="27" t="str">
        <f>[4]ITEMS_Comm!C188</f>
        <v xml:space="preserve"> </v>
      </c>
      <c r="D162" s="27" t="str">
        <f>[4]ITEMS_Comm!D188</f>
        <v/>
      </c>
      <c r="E162" s="19" t="str">
        <f>[4]ITEMS_Comm!E188</f>
        <v>PJ</v>
      </c>
      <c r="F162" s="19" t="str">
        <f>[4]ITEMS_Comm!F188</f>
        <v>COM,DEM,ANNUAL,RES</v>
      </c>
    </row>
    <row r="163" spans="1:6">
      <c r="A163" s="27" t="str">
        <f>[4]ITEMS_Comm!A189</f>
        <v>*</v>
      </c>
      <c r="B163" s="19" t="str">
        <f>[4]ITEMS_Comm!B189</f>
        <v>E</v>
      </c>
      <c r="C163" s="27" t="str">
        <f>[4]ITEMS_Comm!C189</f>
        <v>IPPS</v>
      </c>
      <c r="D163" s="27" t="str">
        <f>[4]ITEMS_Comm!D189</f>
        <v/>
      </c>
      <c r="E163" s="19" t="str">
        <f>[4]ITEMS_Comm!E189</f>
        <v>PJ</v>
      </c>
      <c r="F163" s="19" t="str">
        <f>[4]ITEMS_Comm!F189</f>
        <v>COM,DEM,ANNUAL,RES</v>
      </c>
    </row>
    <row r="164" spans="1:6">
      <c r="A164" s="27" t="str">
        <f>[4]ITEMS_Comm!A190</f>
        <v>*</v>
      </c>
      <c r="B164" s="19" t="str">
        <f>[4]ITEMS_Comm!B190</f>
        <v>E</v>
      </c>
      <c r="C164" s="27" t="str">
        <f>[4]ITEMS_Comm!C190</f>
        <v>IPPS</v>
      </c>
      <c r="D164" s="27" t="str">
        <f>[4]ITEMS_Comm!D190</f>
        <v/>
      </c>
      <c r="E164" s="19" t="str">
        <f>[4]ITEMS_Comm!E190</f>
        <v>PJ</v>
      </c>
      <c r="F164" s="19" t="str">
        <f>[4]ITEMS_Comm!F190</f>
        <v>COM,DEM,ANNUAL,RES</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54"/>
  <sheetViews>
    <sheetView workbookViewId="0"/>
  </sheetViews>
  <sheetFormatPr defaultColWidth="8.85546875" defaultRowHeight="15"/>
  <cols>
    <col min="1" max="1" width="8.85546875" style="185"/>
    <col min="2" max="2" width="11.85546875" style="185" customWidth="1"/>
    <col min="3" max="3" width="34.85546875" style="185" customWidth="1"/>
    <col min="4" max="4" width="8.85546875" style="185"/>
    <col min="5" max="5" width="6.42578125" style="185" customWidth="1"/>
    <col min="6" max="6" width="9.7109375" style="185" customWidth="1"/>
    <col min="7" max="8" width="6.42578125" style="185" customWidth="1"/>
    <col min="9" max="9" width="9.140625" style="185" customWidth="1"/>
    <col min="10" max="10" width="8.85546875" style="5" customWidth="1"/>
    <col min="11" max="11" width="8.42578125" style="185" customWidth="1"/>
    <col min="12" max="29" width="6.42578125" style="185" customWidth="1"/>
    <col min="30" max="46" width="6.140625" style="185" customWidth="1"/>
    <col min="47" max="47" width="10.42578125" style="185" customWidth="1"/>
    <col min="48" max="48" width="6.140625" style="185" customWidth="1"/>
    <col min="49" max="16384" width="8.85546875" style="185"/>
  </cols>
  <sheetData>
    <row r="1" spans="1:48">
      <c r="A1" s="185" t="s">
        <v>610</v>
      </c>
      <c r="B1" s="185" t="s">
        <v>17</v>
      </c>
      <c r="G1" s="185" t="s">
        <v>283</v>
      </c>
    </row>
    <row r="2" spans="1:48" ht="15.75" thickBot="1">
      <c r="A2" s="185" t="s">
        <v>16</v>
      </c>
      <c r="B2" s="325" t="s">
        <v>197</v>
      </c>
      <c r="C2" s="325"/>
      <c r="G2" s="185" t="s">
        <v>282</v>
      </c>
      <c r="H2" s="185">
        <v>1</v>
      </c>
    </row>
    <row r="3" spans="1:48">
      <c r="A3" s="185" t="s">
        <v>16</v>
      </c>
      <c r="G3" s="185" t="s">
        <v>284</v>
      </c>
      <c r="H3" s="185">
        <v>0</v>
      </c>
      <c r="J3" s="5">
        <v>2012</v>
      </c>
      <c r="K3" s="5">
        <v>2013</v>
      </c>
      <c r="L3" s="5">
        <v>2014</v>
      </c>
      <c r="M3" s="5">
        <v>2015</v>
      </c>
      <c r="N3" s="5">
        <v>2016</v>
      </c>
      <c r="O3" s="5">
        <v>2017</v>
      </c>
      <c r="P3" s="5">
        <v>2018</v>
      </c>
      <c r="Q3" s="5">
        <v>2019</v>
      </c>
      <c r="R3" s="5">
        <v>2020</v>
      </c>
      <c r="S3" s="5">
        <v>2021</v>
      </c>
      <c r="T3" s="5">
        <v>2022</v>
      </c>
      <c r="U3" s="5">
        <v>2023</v>
      </c>
      <c r="V3" s="5">
        <v>2024</v>
      </c>
      <c r="W3" s="5">
        <v>2025</v>
      </c>
      <c r="X3" s="5">
        <v>2026</v>
      </c>
      <c r="Y3" s="5">
        <v>2027</v>
      </c>
      <c r="Z3" s="5">
        <v>2028</v>
      </c>
      <c r="AA3" s="5">
        <v>2029</v>
      </c>
      <c r="AB3" s="5">
        <v>2030</v>
      </c>
      <c r="AC3" s="5">
        <v>2031</v>
      </c>
      <c r="AD3" s="5">
        <v>2032</v>
      </c>
      <c r="AE3" s="5">
        <v>2033</v>
      </c>
      <c r="AF3" s="5">
        <v>2034</v>
      </c>
      <c r="AG3" s="5">
        <v>2035</v>
      </c>
      <c r="AH3" s="5">
        <v>2036</v>
      </c>
      <c r="AI3" s="5">
        <v>2037</v>
      </c>
      <c r="AJ3" s="5">
        <v>2038</v>
      </c>
      <c r="AK3" s="5">
        <v>2039</v>
      </c>
      <c r="AL3" s="5">
        <v>2040</v>
      </c>
      <c r="AM3" s="5">
        <v>2045</v>
      </c>
      <c r="AN3" s="5">
        <v>2050</v>
      </c>
      <c r="AO3" s="5">
        <v>2060</v>
      </c>
      <c r="AP3" s="5">
        <v>2070</v>
      </c>
      <c r="AQ3" s="5"/>
      <c r="AR3" s="5"/>
      <c r="AS3" s="5"/>
      <c r="AT3" s="5"/>
      <c r="AU3" s="5"/>
      <c r="AV3" s="5"/>
    </row>
    <row r="4" spans="1:48">
      <c r="A4" s="185" t="s">
        <v>16</v>
      </c>
      <c r="D4" s="185">
        <v>2012</v>
      </c>
      <c r="E4" s="185">
        <v>2020</v>
      </c>
      <c r="F4" s="185">
        <v>2030</v>
      </c>
      <c r="G4" s="185">
        <v>2050</v>
      </c>
      <c r="H4" s="185">
        <v>1</v>
      </c>
      <c r="I4" s="185" t="s">
        <v>392</v>
      </c>
      <c r="J4" s="185">
        <f>MATCH(J$3,$D$4:$G$4,$H4)</f>
        <v>1</v>
      </c>
      <c r="K4" s="185">
        <f t="shared" ref="K4:AP5" si="0">MATCH(K$3,$D$4:$G$4,$H4)</f>
        <v>1</v>
      </c>
      <c r="L4" s="185">
        <f t="shared" si="0"/>
        <v>1</v>
      </c>
      <c r="M4" s="185">
        <f t="shared" si="0"/>
        <v>1</v>
      </c>
      <c r="N4" s="185">
        <f t="shared" si="0"/>
        <v>1</v>
      </c>
      <c r="O4" s="185">
        <f t="shared" si="0"/>
        <v>1</v>
      </c>
      <c r="P4" s="185">
        <f t="shared" si="0"/>
        <v>1</v>
      </c>
      <c r="Q4" s="185">
        <f t="shared" si="0"/>
        <v>1</v>
      </c>
      <c r="R4" s="185">
        <f t="shared" si="0"/>
        <v>2</v>
      </c>
      <c r="S4" s="185">
        <f t="shared" si="0"/>
        <v>2</v>
      </c>
      <c r="T4" s="185">
        <f t="shared" si="0"/>
        <v>2</v>
      </c>
      <c r="U4" s="185">
        <f t="shared" si="0"/>
        <v>2</v>
      </c>
      <c r="V4" s="185">
        <f t="shared" si="0"/>
        <v>2</v>
      </c>
      <c r="W4" s="185">
        <f t="shared" si="0"/>
        <v>2</v>
      </c>
      <c r="X4" s="185">
        <f t="shared" si="0"/>
        <v>2</v>
      </c>
      <c r="Y4" s="185">
        <f t="shared" si="0"/>
        <v>2</v>
      </c>
      <c r="Z4" s="185">
        <f t="shared" si="0"/>
        <v>2</v>
      </c>
      <c r="AA4" s="185">
        <f t="shared" si="0"/>
        <v>2</v>
      </c>
      <c r="AB4" s="185">
        <f t="shared" si="0"/>
        <v>3</v>
      </c>
      <c r="AC4" s="185">
        <f t="shared" si="0"/>
        <v>3</v>
      </c>
      <c r="AD4" s="185">
        <f t="shared" si="0"/>
        <v>3</v>
      </c>
      <c r="AE4" s="185">
        <f t="shared" si="0"/>
        <v>3</v>
      </c>
      <c r="AF4" s="185">
        <f t="shared" si="0"/>
        <v>3</v>
      </c>
      <c r="AG4" s="185">
        <f t="shared" si="0"/>
        <v>3</v>
      </c>
      <c r="AH4" s="185">
        <f t="shared" si="0"/>
        <v>3</v>
      </c>
      <c r="AI4" s="185">
        <f t="shared" si="0"/>
        <v>3</v>
      </c>
      <c r="AJ4" s="185">
        <f t="shared" si="0"/>
        <v>3</v>
      </c>
      <c r="AK4" s="185">
        <f t="shared" si="0"/>
        <v>3</v>
      </c>
      <c r="AL4" s="185">
        <f t="shared" si="0"/>
        <v>3</v>
      </c>
      <c r="AM4" s="185">
        <f t="shared" si="0"/>
        <v>3</v>
      </c>
      <c r="AN4" s="185">
        <f t="shared" si="0"/>
        <v>4</v>
      </c>
      <c r="AO4" s="185">
        <f t="shared" si="0"/>
        <v>4</v>
      </c>
      <c r="AP4" s="185">
        <f t="shared" si="0"/>
        <v>4</v>
      </c>
    </row>
    <row r="5" spans="1:48">
      <c r="A5" s="185" t="s">
        <v>16</v>
      </c>
      <c r="D5" s="185">
        <f>INDEX($D4:$G4,0,COUNT($D4:$G4)-D6)</f>
        <v>2050</v>
      </c>
      <c r="E5" s="185">
        <f>INDEX($D4:$G4,0,COUNT($D4:$G4)-E6)</f>
        <v>2030</v>
      </c>
      <c r="F5" s="185">
        <f>INDEX($D4:$G4,0,COUNT($D4:$G4)-F6)</f>
        <v>2020</v>
      </c>
      <c r="G5" s="185">
        <f>INDEX($D4:$G4,0,COUNT($D4:$G4)-G6)</f>
        <v>2012</v>
      </c>
      <c r="H5" s="185">
        <v>0</v>
      </c>
      <c r="I5" s="185" t="s">
        <v>393</v>
      </c>
      <c r="J5" s="185">
        <f t="shared" ref="J5:Y5" si="1">MATCH(J$3,$D$4:$G$4,$H5)</f>
        <v>1</v>
      </c>
      <c r="K5" s="185" t="e">
        <f t="shared" si="1"/>
        <v>#N/A</v>
      </c>
      <c r="L5" s="185" t="e">
        <f t="shared" si="1"/>
        <v>#N/A</v>
      </c>
      <c r="M5" s="185" t="e">
        <f t="shared" si="1"/>
        <v>#N/A</v>
      </c>
      <c r="N5" s="185" t="e">
        <f t="shared" si="1"/>
        <v>#N/A</v>
      </c>
      <c r="O5" s="185" t="e">
        <f t="shared" si="1"/>
        <v>#N/A</v>
      </c>
      <c r="P5" s="185" t="e">
        <f t="shared" si="1"/>
        <v>#N/A</v>
      </c>
      <c r="Q5" s="185" t="e">
        <f t="shared" si="1"/>
        <v>#N/A</v>
      </c>
      <c r="R5" s="185">
        <f t="shared" si="1"/>
        <v>2</v>
      </c>
      <c r="S5" s="185" t="e">
        <f t="shared" si="1"/>
        <v>#N/A</v>
      </c>
      <c r="T5" s="185" t="e">
        <f t="shared" si="1"/>
        <v>#N/A</v>
      </c>
      <c r="U5" s="185" t="e">
        <f t="shared" si="1"/>
        <v>#N/A</v>
      </c>
      <c r="V5" s="185" t="e">
        <f t="shared" si="1"/>
        <v>#N/A</v>
      </c>
      <c r="W5" s="185" t="e">
        <f t="shared" si="1"/>
        <v>#N/A</v>
      </c>
      <c r="X5" s="185" t="e">
        <f t="shared" si="1"/>
        <v>#N/A</v>
      </c>
      <c r="Y5" s="185" t="e">
        <f t="shared" si="1"/>
        <v>#N/A</v>
      </c>
      <c r="Z5" s="185" t="e">
        <f t="shared" si="0"/>
        <v>#N/A</v>
      </c>
      <c r="AA5" s="185" t="e">
        <f t="shared" si="0"/>
        <v>#N/A</v>
      </c>
      <c r="AB5" s="185">
        <f t="shared" si="0"/>
        <v>3</v>
      </c>
      <c r="AC5" s="185" t="e">
        <f t="shared" si="0"/>
        <v>#N/A</v>
      </c>
      <c r="AD5" s="185" t="e">
        <f t="shared" si="0"/>
        <v>#N/A</v>
      </c>
      <c r="AE5" s="185" t="e">
        <f t="shared" si="0"/>
        <v>#N/A</v>
      </c>
      <c r="AF5" s="185" t="e">
        <f t="shared" si="0"/>
        <v>#N/A</v>
      </c>
      <c r="AG5" s="185" t="e">
        <f t="shared" si="0"/>
        <v>#N/A</v>
      </c>
      <c r="AH5" s="185" t="e">
        <f t="shared" si="0"/>
        <v>#N/A</v>
      </c>
      <c r="AI5" s="185" t="e">
        <f t="shared" si="0"/>
        <v>#N/A</v>
      </c>
      <c r="AJ5" s="185" t="e">
        <f t="shared" si="0"/>
        <v>#N/A</v>
      </c>
      <c r="AK5" s="185" t="e">
        <f t="shared" si="0"/>
        <v>#N/A</v>
      </c>
      <c r="AL5" s="185" t="e">
        <f t="shared" si="0"/>
        <v>#N/A</v>
      </c>
      <c r="AM5" s="185" t="e">
        <f t="shared" si="0"/>
        <v>#N/A</v>
      </c>
      <c r="AN5" s="185">
        <f t="shared" si="0"/>
        <v>4</v>
      </c>
      <c r="AO5" s="185" t="e">
        <f t="shared" si="0"/>
        <v>#N/A</v>
      </c>
      <c r="AP5" s="185" t="e">
        <f t="shared" si="0"/>
        <v>#N/A</v>
      </c>
    </row>
    <row r="6" spans="1:48">
      <c r="A6" s="185" t="s">
        <v>16</v>
      </c>
      <c r="D6" s="185">
        <v>0</v>
      </c>
      <c r="E6" s="185">
        <v>1</v>
      </c>
      <c r="F6" s="185">
        <v>2</v>
      </c>
      <c r="G6" s="185">
        <v>3</v>
      </c>
      <c r="H6" s="185">
        <v>-1</v>
      </c>
      <c r="I6" s="185" t="s">
        <v>391</v>
      </c>
      <c r="J6" s="185">
        <f>MATCH(J$3,$D$5:$G$5,$H6)</f>
        <v>4</v>
      </c>
      <c r="K6" s="185">
        <f t="shared" ref="K6:AP6" si="2">MATCH(K$3,$D$5:$G$5,$H6)</f>
        <v>3</v>
      </c>
      <c r="L6" s="185">
        <f t="shared" si="2"/>
        <v>3</v>
      </c>
      <c r="M6" s="185">
        <f t="shared" si="2"/>
        <v>3</v>
      </c>
      <c r="N6" s="185">
        <f t="shared" si="2"/>
        <v>3</v>
      </c>
      <c r="O6" s="185">
        <f t="shared" si="2"/>
        <v>3</v>
      </c>
      <c r="P6" s="185">
        <f t="shared" si="2"/>
        <v>3</v>
      </c>
      <c r="Q6" s="185">
        <f t="shared" si="2"/>
        <v>3</v>
      </c>
      <c r="R6" s="185">
        <f t="shared" si="2"/>
        <v>3</v>
      </c>
      <c r="S6" s="185">
        <f t="shared" si="2"/>
        <v>2</v>
      </c>
      <c r="T6" s="185">
        <f t="shared" si="2"/>
        <v>2</v>
      </c>
      <c r="U6" s="185">
        <f t="shared" si="2"/>
        <v>2</v>
      </c>
      <c r="V6" s="185">
        <f t="shared" si="2"/>
        <v>2</v>
      </c>
      <c r="W6" s="185">
        <f t="shared" si="2"/>
        <v>2</v>
      </c>
      <c r="X6" s="185">
        <f t="shared" si="2"/>
        <v>2</v>
      </c>
      <c r="Y6" s="185">
        <f t="shared" si="2"/>
        <v>2</v>
      </c>
      <c r="Z6" s="185">
        <f t="shared" si="2"/>
        <v>2</v>
      </c>
      <c r="AA6" s="185">
        <f t="shared" si="2"/>
        <v>2</v>
      </c>
      <c r="AB6" s="185">
        <f t="shared" si="2"/>
        <v>2</v>
      </c>
      <c r="AC6" s="185">
        <f t="shared" si="2"/>
        <v>1</v>
      </c>
      <c r="AD6" s="185">
        <f t="shared" si="2"/>
        <v>1</v>
      </c>
      <c r="AE6" s="185">
        <f t="shared" si="2"/>
        <v>1</v>
      </c>
      <c r="AF6" s="185">
        <f t="shared" si="2"/>
        <v>1</v>
      </c>
      <c r="AG6" s="185">
        <f t="shared" si="2"/>
        <v>1</v>
      </c>
      <c r="AH6" s="185">
        <f t="shared" si="2"/>
        <v>1</v>
      </c>
      <c r="AI6" s="185">
        <f t="shared" si="2"/>
        <v>1</v>
      </c>
      <c r="AJ6" s="185">
        <f t="shared" si="2"/>
        <v>1</v>
      </c>
      <c r="AK6" s="185">
        <f t="shared" si="2"/>
        <v>1</v>
      </c>
      <c r="AL6" s="185">
        <f t="shared" si="2"/>
        <v>1</v>
      </c>
      <c r="AM6" s="185">
        <f t="shared" si="2"/>
        <v>1</v>
      </c>
      <c r="AN6" s="185">
        <f>MATCH(AN$3,$D$5:$G$5,$H6)</f>
        <v>1</v>
      </c>
      <c r="AO6" s="185" t="e">
        <f t="shared" si="2"/>
        <v>#N/A</v>
      </c>
      <c r="AP6" s="185" t="e">
        <f t="shared" si="2"/>
        <v>#N/A</v>
      </c>
    </row>
    <row r="7" spans="1:48">
      <c r="A7" s="185" t="s">
        <v>16</v>
      </c>
      <c r="I7" s="185" t="s">
        <v>394</v>
      </c>
      <c r="J7" s="5">
        <f>IF(ISNA(J4),-1,IF(ISNA(J6),99,IF(ISNA(J5),J4,0)))</f>
        <v>0</v>
      </c>
      <c r="K7" s="5">
        <f t="shared" ref="K7:AP7" si="3">IF(ISNA(K4),-1,IF(ISNA(K6),99,IF(ISNA(K5),K4,0)))</f>
        <v>1</v>
      </c>
      <c r="L7" s="5">
        <f t="shared" si="3"/>
        <v>1</v>
      </c>
      <c r="M7" s="5">
        <f t="shared" si="3"/>
        <v>1</v>
      </c>
      <c r="N7" s="5">
        <f t="shared" si="3"/>
        <v>1</v>
      </c>
      <c r="O7" s="5">
        <f t="shared" si="3"/>
        <v>1</v>
      </c>
      <c r="P7" s="5">
        <f t="shared" si="3"/>
        <v>1</v>
      </c>
      <c r="Q7" s="5">
        <f t="shared" si="3"/>
        <v>1</v>
      </c>
      <c r="R7" s="5">
        <f t="shared" si="3"/>
        <v>0</v>
      </c>
      <c r="S7" s="5">
        <f t="shared" si="3"/>
        <v>2</v>
      </c>
      <c r="T7" s="5">
        <f t="shared" si="3"/>
        <v>2</v>
      </c>
      <c r="U7" s="5">
        <f t="shared" si="3"/>
        <v>2</v>
      </c>
      <c r="V7" s="5">
        <f t="shared" si="3"/>
        <v>2</v>
      </c>
      <c r="W7" s="5">
        <f t="shared" si="3"/>
        <v>2</v>
      </c>
      <c r="X7" s="5">
        <f t="shared" si="3"/>
        <v>2</v>
      </c>
      <c r="Y7" s="5">
        <f t="shared" si="3"/>
        <v>2</v>
      </c>
      <c r="Z7" s="5">
        <f t="shared" si="3"/>
        <v>2</v>
      </c>
      <c r="AA7" s="5">
        <f t="shared" si="3"/>
        <v>2</v>
      </c>
      <c r="AB7" s="5">
        <f t="shared" si="3"/>
        <v>0</v>
      </c>
      <c r="AC7" s="5">
        <f t="shared" si="3"/>
        <v>3</v>
      </c>
      <c r="AD7" s="5">
        <f t="shared" si="3"/>
        <v>3</v>
      </c>
      <c r="AE7" s="5">
        <f t="shared" si="3"/>
        <v>3</v>
      </c>
      <c r="AF7" s="5">
        <f t="shared" si="3"/>
        <v>3</v>
      </c>
      <c r="AG7" s="5">
        <f t="shared" si="3"/>
        <v>3</v>
      </c>
      <c r="AH7" s="5">
        <f t="shared" si="3"/>
        <v>3</v>
      </c>
      <c r="AI7" s="5">
        <f t="shared" si="3"/>
        <v>3</v>
      </c>
      <c r="AJ7" s="5">
        <f t="shared" si="3"/>
        <v>3</v>
      </c>
      <c r="AK7" s="5">
        <f t="shared" si="3"/>
        <v>3</v>
      </c>
      <c r="AL7" s="5">
        <f t="shared" si="3"/>
        <v>3</v>
      </c>
      <c r="AM7" s="5">
        <f t="shared" si="3"/>
        <v>3</v>
      </c>
      <c r="AN7" s="5">
        <f t="shared" si="3"/>
        <v>0</v>
      </c>
      <c r="AO7" s="5">
        <f>IF(ISNA(AO4),-1,IF(ISNA(AO6),99,IF(ISNA(AO5),AO4,0)))</f>
        <v>99</v>
      </c>
      <c r="AP7" s="5">
        <f t="shared" si="3"/>
        <v>99</v>
      </c>
      <c r="AQ7" s="5"/>
      <c r="AR7" s="5"/>
      <c r="AS7" s="5"/>
      <c r="AT7" s="5"/>
      <c r="AU7" s="5"/>
      <c r="AV7" s="5"/>
    </row>
    <row r="8" spans="1:48" ht="15.75" thickBot="1">
      <c r="A8" s="185" t="s">
        <v>16</v>
      </c>
      <c r="B8" s="14" t="s">
        <v>11</v>
      </c>
      <c r="C8" s="14"/>
      <c r="D8" s="14"/>
      <c r="E8" s="14"/>
      <c r="F8" s="14"/>
    </row>
    <row r="9" spans="1:48">
      <c r="A9" s="185" t="s">
        <v>16</v>
      </c>
      <c r="B9" s="185" t="s">
        <v>9</v>
      </c>
      <c r="C9" s="185" t="s">
        <v>10</v>
      </c>
      <c r="D9" s="185" t="s">
        <v>281</v>
      </c>
      <c r="E9" s="185" t="s">
        <v>280</v>
      </c>
      <c r="J9" s="5">
        <f>MATCH(J3,Drivers!$C$5:$AG$5,0)</f>
        <v>1</v>
      </c>
      <c r="K9" s="5">
        <f>MATCH(K3,Drivers!$C$5:$AG$5,0)</f>
        <v>2</v>
      </c>
      <c r="L9" s="5">
        <f>MATCH(L3,Drivers!$C$5:$AG$5,0)</f>
        <v>3</v>
      </c>
      <c r="M9" s="5">
        <f>MATCH(M3,Drivers!$C$5:$AG$5,0)</f>
        <v>4</v>
      </c>
      <c r="N9" s="5">
        <f>MATCH(N3,Drivers!$C$5:$AG$5,0)</f>
        <v>5</v>
      </c>
      <c r="O9" s="5">
        <f>MATCH(O3,Drivers!$C$5:$AG$5,0)</f>
        <v>6</v>
      </c>
      <c r="P9" s="5">
        <f>MATCH(P3,Drivers!$C$5:$AG$5,0)</f>
        <v>7</v>
      </c>
      <c r="Q9" s="5">
        <f>MATCH(Q3,Drivers!$C$5:$AG$5,0)</f>
        <v>8</v>
      </c>
      <c r="R9" s="5">
        <f>MATCH(R3,Drivers!$C$5:$AG$5,0)</f>
        <v>9</v>
      </c>
      <c r="S9" s="5">
        <f>MATCH(S3,Drivers!$C$5:$AG$5,0)</f>
        <v>10</v>
      </c>
      <c r="T9" s="5">
        <f>MATCH(T3,Drivers!$C$5:$AG$5,0)</f>
        <v>11</v>
      </c>
      <c r="U9" s="5">
        <f>MATCH(U3,Drivers!$C$5:$AG$5,0)</f>
        <v>12</v>
      </c>
      <c r="V9" s="5">
        <f>MATCH(V3,Drivers!$C$5:$AG$5,0)</f>
        <v>13</v>
      </c>
      <c r="W9" s="5">
        <f>MATCH(W3,Drivers!$C$5:$AG$5,0)</f>
        <v>14</v>
      </c>
      <c r="X9" s="5">
        <f>MATCH(X3,Drivers!$C$5:$AG$5,0)</f>
        <v>15</v>
      </c>
      <c r="Y9" s="5">
        <f>MATCH(Y3,Drivers!$C$5:$AG$5,0)</f>
        <v>16</v>
      </c>
      <c r="Z9" s="5">
        <f>MATCH(Z3,Drivers!$C$5:$AG$5,0)</f>
        <v>17</v>
      </c>
      <c r="AA9" s="5">
        <f>MATCH(AA3,Drivers!$C$5:$AG$5,0)</f>
        <v>18</v>
      </c>
      <c r="AB9" s="5">
        <f>MATCH(AB3,Drivers!$C$5:$AG$5,0)</f>
        <v>19</v>
      </c>
      <c r="AC9" s="5">
        <f>MATCH(AC3,Drivers!$C$5:$AG$5,0)</f>
        <v>20</v>
      </c>
      <c r="AD9" s="5">
        <f>MATCH(AD3,Drivers!$C$5:$AG$5,0)</f>
        <v>21</v>
      </c>
      <c r="AE9" s="5">
        <f>MATCH(AE3,Drivers!$C$5:$AG$5,0)</f>
        <v>22</v>
      </c>
      <c r="AF9" s="5">
        <f>MATCH(AF3,Drivers!$C$5:$AG$5,0)</f>
        <v>23</v>
      </c>
      <c r="AG9" s="5">
        <f>MATCH(AG3,Drivers!$C$5:$AG$5,0)</f>
        <v>24</v>
      </c>
      <c r="AH9" s="5">
        <f>MATCH(AH3,Drivers!$C$5:$AG$5,0)</f>
        <v>25</v>
      </c>
      <c r="AI9" s="5">
        <f>MATCH(AI3,Drivers!$C$5:$AG$5,0)</f>
        <v>26</v>
      </c>
      <c r="AJ9" s="5">
        <f>MATCH(AJ3,Drivers!$C$5:$AG$5,0)</f>
        <v>27</v>
      </c>
      <c r="AK9" s="5">
        <f>MATCH(AK3,Drivers!$C$5:$AG$5,0)</f>
        <v>28</v>
      </c>
      <c r="AL9" s="5">
        <f>MATCH(AL3,Drivers!$C$5:$AG$5,0)</f>
        <v>29</v>
      </c>
      <c r="AM9" s="5">
        <f>MATCH(AM3,Drivers!$C$5:$AG$5,0)</f>
        <v>30</v>
      </c>
      <c r="AN9" s="5">
        <f>MATCH(AN3,Drivers!$C$5:$AG$5,0)</f>
        <v>31</v>
      </c>
      <c r="AO9" s="185">
        <f>AN9+1</f>
        <v>32</v>
      </c>
      <c r="AP9" s="185">
        <f>AO9+1</f>
        <v>33</v>
      </c>
    </row>
    <row r="10" spans="1:48">
      <c r="A10" s="185" t="s">
        <v>16</v>
      </c>
      <c r="B10" s="186" t="str">
        <f>[4]IND!B10</f>
        <v>MI</v>
      </c>
      <c r="C10" s="186" t="str">
        <f>[4]IND!A10</f>
        <v>Mining</v>
      </c>
      <c r="D10" s="185">
        <f>[4]IND!M10</f>
        <v>1</v>
      </c>
      <c r="F10" s="186"/>
      <c r="G10" s="185">
        <f>MATCH(B10,Drivers!$A$7:$A$22,0)</f>
        <v>7</v>
      </c>
      <c r="H10" s="186"/>
      <c r="I10" s="186"/>
      <c r="J10" s="185">
        <f>INDEX(Drivers!$C$7:$AG$22,$G10,J$9)</f>
        <v>205.45</v>
      </c>
      <c r="K10" s="185">
        <f>INDEX(Drivers!$C$7:$AG$22,$G10,K$9)</f>
        <v>210.29</v>
      </c>
      <c r="L10" s="185">
        <f>INDEX(Drivers!$C$7:$AG$22,$G10,L$9)</f>
        <v>210.09</v>
      </c>
      <c r="M10" s="185">
        <f>INDEX(Drivers!$C$7:$AG$22,$G10,M$9)</f>
        <v>214.84</v>
      </c>
      <c r="N10" s="185">
        <f>INDEX(Drivers!$C$7:$AG$22,$G10,N$9)</f>
        <v>210.99</v>
      </c>
      <c r="O10" s="185">
        <f>INDEX(Drivers!$C$7:$AG$22,$G10,O$9)</f>
        <v>215.85</v>
      </c>
      <c r="P10" s="185">
        <f>INDEX(Drivers!$C$7:$AG$22,$G10,P$9)</f>
        <v>213.65</v>
      </c>
      <c r="Q10" s="185">
        <f>INDEX(Drivers!$C$7:$AG$22,$G10,Q$9)</f>
        <v>210.07</v>
      </c>
      <c r="R10" s="185">
        <f>INDEX(Drivers!$C$7:$AG$22,$G10,R$9)</f>
        <v>193.07</v>
      </c>
      <c r="S10" s="185">
        <f>INDEX(Drivers!$C$7:$AG$22,$G10,S$9)</f>
        <v>196.38</v>
      </c>
      <c r="T10" s="185">
        <f>INDEX(Drivers!$C$7:$AG$22,$G10,T$9)</f>
        <v>199.05</v>
      </c>
      <c r="U10" s="185">
        <f>INDEX(Drivers!$C$7:$AG$22,$G10,U$9)</f>
        <v>201.54</v>
      </c>
      <c r="V10" s="185">
        <f>INDEX(Drivers!$C$7:$AG$22,$G10,V$9)</f>
        <v>203.91</v>
      </c>
      <c r="W10" s="185">
        <f>INDEX(Drivers!$C$7:$AG$22,$G10,W$9)</f>
        <v>207.14</v>
      </c>
      <c r="X10" s="185">
        <f>INDEX(Drivers!$C$7:$AG$22,$G10,X$9)</f>
        <v>212.19</v>
      </c>
      <c r="Y10" s="185">
        <f>INDEX(Drivers!$C$7:$AG$22,$G10,Y$9)</f>
        <v>217.65</v>
      </c>
      <c r="Z10" s="185">
        <f>INDEX(Drivers!$C$7:$AG$22,$G10,Z$9)</f>
        <v>223.52</v>
      </c>
      <c r="AA10" s="185">
        <f>INDEX(Drivers!$C$7:$AG$22,$G10,AA$9)</f>
        <v>228.69</v>
      </c>
      <c r="AB10" s="185">
        <f>INDEX(Drivers!$C$7:$AG$22,$G10,AB$9)</f>
        <v>234.66</v>
      </c>
      <c r="AC10" s="185">
        <f>INDEX(Drivers!$C$7:$AG$22,$G10,AC$9)</f>
        <v>240.3</v>
      </c>
      <c r="AD10" s="185">
        <f>INDEX(Drivers!$C$7:$AG$22,$G10,AD$9)</f>
        <v>245.53</v>
      </c>
      <c r="AE10" s="185">
        <f>INDEX(Drivers!$C$7:$AG$22,$G10,AE$9)</f>
        <v>251.1</v>
      </c>
      <c r="AF10" s="185">
        <f>INDEX(Drivers!$C$7:$AG$22,$G10,AF$9)</f>
        <v>256.91000000000003</v>
      </c>
      <c r="AG10" s="185">
        <f>INDEX(Drivers!$C$7:$AG$22,$G10,AG$9)</f>
        <v>262.83</v>
      </c>
      <c r="AH10" s="185">
        <f>INDEX(Drivers!$C$7:$AG$22,$G10,AH$9)</f>
        <v>269.37</v>
      </c>
      <c r="AI10" s="185">
        <f>INDEX(Drivers!$C$7:$AG$22,$G10,AI$9)</f>
        <v>276.17</v>
      </c>
      <c r="AJ10" s="185">
        <f>INDEX(Drivers!$C$7:$AG$22,$G10,AJ$9)</f>
        <v>282.98</v>
      </c>
      <c r="AK10" s="185">
        <f>INDEX(Drivers!$C$7:$AG$22,$G10,AK$9)</f>
        <v>290.05</v>
      </c>
      <c r="AL10" s="185">
        <f>INDEX(Drivers!$C$7:$AG$22,$G10,AL$9)</f>
        <v>297.62</v>
      </c>
      <c r="AM10" s="185">
        <f>INDEX(Drivers!$C$7:$AG$22,$G10,AM$9)</f>
        <v>334.31</v>
      </c>
      <c r="AN10" s="185">
        <f>INDEX(Drivers!$C$7:$AG$22,$G10,AN$9)</f>
        <v>380</v>
      </c>
      <c r="AO10" s="185">
        <f>FORECAST(AO$3,$AL10:$AN10,$AL$3:$AN$3)</f>
        <v>460.88000000000102</v>
      </c>
      <c r="AP10" s="185">
        <f>FORECAST(AP$3,$AL10:$AN10,$AL$3:$AN$3)</f>
        <v>543.26000000000204</v>
      </c>
    </row>
    <row r="11" spans="1:48">
      <c r="A11" s="185" t="s">
        <v>16</v>
      </c>
      <c r="B11" s="186" t="str">
        <f>[4]IND!B11</f>
        <v>FA</v>
      </c>
      <c r="C11" s="186" t="str">
        <f>[4]IND!A11</f>
        <v>Ferro Alloys</v>
      </c>
      <c r="D11" s="185">
        <f>[4]IND!M11</f>
        <v>0</v>
      </c>
      <c r="F11" s="186" t="s">
        <v>615</v>
      </c>
      <c r="G11" s="185">
        <f>G10</f>
        <v>7</v>
      </c>
      <c r="H11" s="186"/>
      <c r="I11" s="186"/>
      <c r="J11" s="185">
        <f>INDEX(Drivers!$C$7:$AG$22,$G11,J$9)</f>
        <v>205.45</v>
      </c>
      <c r="K11" s="185">
        <f>INDEX(Drivers!$C$7:$AG$22,$G11,K$9)</f>
        <v>210.29</v>
      </c>
      <c r="L11" s="185">
        <f>INDEX(Drivers!$C$7:$AG$22,$G11,L$9)</f>
        <v>210.09</v>
      </c>
      <c r="M11" s="185">
        <f>INDEX(Drivers!$C$7:$AG$22,$G11,M$9)</f>
        <v>214.84</v>
      </c>
      <c r="N11" s="185">
        <f>INDEX(Drivers!$C$7:$AG$22,$G11,N$9)</f>
        <v>210.99</v>
      </c>
      <c r="O11" s="185">
        <f>INDEX(Drivers!$C$7:$AG$22,$G11,O$9)</f>
        <v>215.85</v>
      </c>
      <c r="P11" s="185">
        <f>INDEX(Drivers!$C$7:$AG$22,$G11,P$9)</f>
        <v>213.65</v>
      </c>
      <c r="Q11" s="185">
        <f>INDEX(Drivers!$C$7:$AG$22,$G11,Q$9)</f>
        <v>210.07</v>
      </c>
      <c r="R11" s="185">
        <f>INDEX(Drivers!$C$7:$AG$22,$G11,R$9)</f>
        <v>193.07</v>
      </c>
      <c r="S11" s="185">
        <f>INDEX(Drivers!$C$7:$AG$22,$G11,S$9)</f>
        <v>196.38</v>
      </c>
      <c r="T11" s="185">
        <f>INDEX(Drivers!$C$7:$AG$22,$G11,T$9)</f>
        <v>199.05</v>
      </c>
      <c r="U11" s="185">
        <f>INDEX(Drivers!$C$7:$AG$22,$G11,U$9)</f>
        <v>201.54</v>
      </c>
      <c r="V11" s="185">
        <f>INDEX(Drivers!$C$7:$AG$22,$G11,V$9)</f>
        <v>203.91</v>
      </c>
      <c r="W11" s="185">
        <f>INDEX(Drivers!$C$7:$AG$22,$G11,W$9)</f>
        <v>207.14</v>
      </c>
      <c r="X11" s="185">
        <f>INDEX(Drivers!$C$7:$AG$22,$G11,X$9)</f>
        <v>212.19</v>
      </c>
      <c r="Y11" s="185">
        <f>INDEX(Drivers!$C$7:$AG$22,$G11,Y$9)</f>
        <v>217.65</v>
      </c>
      <c r="Z11" s="185">
        <f>INDEX(Drivers!$C$7:$AG$22,$G11,Z$9)</f>
        <v>223.52</v>
      </c>
      <c r="AA11" s="185">
        <f>INDEX(Drivers!$C$7:$AG$22,$G11,AA$9)</f>
        <v>228.69</v>
      </c>
      <c r="AB11" s="185">
        <f>INDEX(Drivers!$C$7:$AG$22,$G11,AB$9)</f>
        <v>234.66</v>
      </c>
      <c r="AC11" s="185">
        <f>INDEX(Drivers!$C$7:$AG$22,$G11,AC$9)</f>
        <v>240.3</v>
      </c>
      <c r="AD11" s="185">
        <f>INDEX(Drivers!$C$7:$AG$22,$G11,AD$9)</f>
        <v>245.53</v>
      </c>
      <c r="AE11" s="185">
        <f>INDEX(Drivers!$C$7:$AG$22,$G11,AE$9)</f>
        <v>251.1</v>
      </c>
      <c r="AF11" s="185">
        <f>INDEX(Drivers!$C$7:$AG$22,$G11,AF$9)</f>
        <v>256.91000000000003</v>
      </c>
      <c r="AG11" s="185">
        <f>INDEX(Drivers!$C$7:$AG$22,$G11,AG$9)</f>
        <v>262.83</v>
      </c>
      <c r="AH11" s="185">
        <f>INDEX(Drivers!$C$7:$AG$22,$G11,AH$9)</f>
        <v>269.37</v>
      </c>
      <c r="AI11" s="185">
        <f>INDEX(Drivers!$C$7:$AG$22,$G11,AI$9)</f>
        <v>276.17</v>
      </c>
      <c r="AJ11" s="185">
        <f>INDEX(Drivers!$C$7:$AG$22,$G11,AJ$9)</f>
        <v>282.98</v>
      </c>
      <c r="AK11" s="185">
        <f>INDEX(Drivers!$C$7:$AG$22,$G11,AK$9)</f>
        <v>290.05</v>
      </c>
      <c r="AL11" s="185">
        <f>INDEX(Drivers!$C$7:$AG$22,$G11,AL$9)</f>
        <v>297.62</v>
      </c>
      <c r="AM11" s="185">
        <f>INDEX(Drivers!$C$7:$AG$22,$G11,AM$9)</f>
        <v>334.31</v>
      </c>
      <c r="AN11" s="185">
        <f>INDEX(Drivers!$C$7:$AG$22,$G11,AN$9)</f>
        <v>380</v>
      </c>
      <c r="AO11" s="185">
        <f t="shared" ref="AO11:AP22" si="4">FORECAST(AO$3,$AL11:$AN11,$AL$3:$AN$3)</f>
        <v>460.88000000000102</v>
      </c>
      <c r="AP11" s="185">
        <f t="shared" si="4"/>
        <v>543.26000000000204</v>
      </c>
    </row>
    <row r="12" spans="1:48">
      <c r="A12" s="185" t="s">
        <v>16</v>
      </c>
      <c r="B12" s="186" t="str">
        <f>[4]IND!B12</f>
        <v>IS</v>
      </c>
      <c r="C12" s="186" t="str">
        <f>[4]IND!A12</f>
        <v>Iron &amp; Steel</v>
      </c>
      <c r="D12" s="185">
        <f>[4]IND!M12</f>
        <v>0</v>
      </c>
      <c r="F12" s="186" t="s">
        <v>292</v>
      </c>
      <c r="G12" s="185">
        <f>MATCH(B12,Drivers!$A$7:$A$22,0)</f>
        <v>6</v>
      </c>
      <c r="H12" s="186"/>
      <c r="I12" s="186"/>
      <c r="J12" s="185">
        <f>INDEX(Drivers!$C$7:$AG$22,$G12,J$9)</f>
        <v>13.35</v>
      </c>
      <c r="K12" s="185">
        <f>INDEX(Drivers!$C$7:$AG$22,$G12,K$9)</f>
        <v>13.74</v>
      </c>
      <c r="L12" s="185">
        <f>INDEX(Drivers!$C$7:$AG$22,$G12,L$9)</f>
        <v>13.91</v>
      </c>
      <c r="M12" s="185">
        <f>INDEX(Drivers!$C$7:$AG$22,$G12,M$9)</f>
        <v>14.13</v>
      </c>
      <c r="N12" s="185">
        <f>INDEX(Drivers!$C$7:$AG$22,$G12,N$9)</f>
        <v>14.15</v>
      </c>
      <c r="O12" s="185">
        <f>INDEX(Drivers!$C$7:$AG$22,$G12,O$9)</f>
        <v>14.18</v>
      </c>
      <c r="P12" s="185">
        <f>INDEX(Drivers!$C$7:$AG$22,$G12,P$9)</f>
        <v>14.21</v>
      </c>
      <c r="Q12" s="185">
        <f>INDEX(Drivers!$C$7:$AG$22,$G12,Q$9)</f>
        <v>14.08</v>
      </c>
      <c r="R12" s="185">
        <f>INDEX(Drivers!$C$7:$AG$22,$G12,R$9)</f>
        <v>12.26</v>
      </c>
      <c r="S12" s="185">
        <f>INDEX(Drivers!$C$7:$AG$22,$G12,S$9)</f>
        <v>12.65</v>
      </c>
      <c r="T12" s="185">
        <f>INDEX(Drivers!$C$7:$AG$22,$G12,T$9)</f>
        <v>12.9</v>
      </c>
      <c r="U12" s="185">
        <f>INDEX(Drivers!$C$7:$AG$22,$G12,U$9)</f>
        <v>13.13</v>
      </c>
      <c r="V12" s="185">
        <f>INDEX(Drivers!$C$7:$AG$22,$G12,V$9)</f>
        <v>13.34</v>
      </c>
      <c r="W12" s="185">
        <f>INDEX(Drivers!$C$7:$AG$22,$G12,W$9)</f>
        <v>13.63</v>
      </c>
      <c r="X12" s="185">
        <f>INDEX(Drivers!$C$7:$AG$22,$G12,X$9)</f>
        <v>14.12</v>
      </c>
      <c r="Y12" s="185">
        <f>INDEX(Drivers!$C$7:$AG$22,$G12,Y$9)</f>
        <v>14.6</v>
      </c>
      <c r="Z12" s="185">
        <f>INDEX(Drivers!$C$7:$AG$22,$G12,Z$9)</f>
        <v>15.08</v>
      </c>
      <c r="AA12" s="185">
        <f>INDEX(Drivers!$C$7:$AG$22,$G12,AA$9)</f>
        <v>15.43</v>
      </c>
      <c r="AB12" s="185">
        <f>INDEX(Drivers!$C$7:$AG$22,$G12,AB$9)</f>
        <v>15.88</v>
      </c>
      <c r="AC12" s="185">
        <f>INDEX(Drivers!$C$7:$AG$22,$G12,AC$9)</f>
        <v>16.239999999999998</v>
      </c>
      <c r="AD12" s="185">
        <f>INDEX(Drivers!$C$7:$AG$22,$G12,AD$9)</f>
        <v>16.559999999999999</v>
      </c>
      <c r="AE12" s="185">
        <f>INDEX(Drivers!$C$7:$AG$22,$G12,AE$9)</f>
        <v>16.93</v>
      </c>
      <c r="AF12" s="185">
        <f>INDEX(Drivers!$C$7:$AG$22,$G12,AF$9)</f>
        <v>17.34</v>
      </c>
      <c r="AG12" s="185">
        <f>INDEX(Drivers!$C$7:$AG$22,$G12,AG$9)</f>
        <v>17.73</v>
      </c>
      <c r="AH12" s="185">
        <f>INDEX(Drivers!$C$7:$AG$22,$G12,AH$9)</f>
        <v>18.190000000000001</v>
      </c>
      <c r="AI12" s="185">
        <f>INDEX(Drivers!$C$7:$AG$22,$G12,AI$9)</f>
        <v>18.670000000000002</v>
      </c>
      <c r="AJ12" s="185">
        <f>INDEX(Drivers!$C$7:$AG$22,$G12,AJ$9)</f>
        <v>19.14</v>
      </c>
      <c r="AK12" s="185">
        <f>INDEX(Drivers!$C$7:$AG$22,$G12,AK$9)</f>
        <v>19.63</v>
      </c>
      <c r="AL12" s="185">
        <f>INDEX(Drivers!$C$7:$AG$22,$G12,AL$9)</f>
        <v>20.14</v>
      </c>
      <c r="AM12" s="185">
        <f>INDEX(Drivers!$C$7:$AG$22,$G12,AM$9)</f>
        <v>22.59</v>
      </c>
      <c r="AN12" s="185">
        <f>INDEX(Drivers!$C$7:$AG$22,$G12,AN$9)</f>
        <v>25.89</v>
      </c>
      <c r="AO12" s="185">
        <f t="shared" si="4"/>
        <v>31.498333333333449</v>
      </c>
      <c r="AP12" s="185">
        <f t="shared" si="4"/>
        <v>37.248333333333449</v>
      </c>
    </row>
    <row r="13" spans="1:48">
      <c r="A13" s="185" t="s">
        <v>16</v>
      </c>
      <c r="B13" s="186" t="str">
        <f>[4]IND!B14</f>
        <v>CP</v>
      </c>
      <c r="C13" s="186" t="str">
        <f>[4]IND!A14</f>
        <v>Chemicals</v>
      </c>
      <c r="D13" s="185">
        <f>[4]IND!M14</f>
        <v>1</v>
      </c>
      <c r="F13" s="186"/>
      <c r="G13" s="185">
        <f>MATCH(B13,Drivers!$A$7:$A$22,0)</f>
        <v>3</v>
      </c>
      <c r="H13" s="186"/>
      <c r="I13" s="186"/>
      <c r="J13" s="185">
        <f>INDEX(Drivers!$C$7:$AG$22,$G13,J$9)</f>
        <v>52.81</v>
      </c>
      <c r="K13" s="185">
        <f>INDEX(Drivers!$C$7:$AG$22,$G13,K$9)</f>
        <v>54.31</v>
      </c>
      <c r="L13" s="185">
        <f>INDEX(Drivers!$C$7:$AG$22,$G13,L$9)</f>
        <v>55.26</v>
      </c>
      <c r="M13" s="185">
        <f>INDEX(Drivers!$C$7:$AG$22,$G13,M$9)</f>
        <v>55.73</v>
      </c>
      <c r="N13" s="185">
        <f>INDEX(Drivers!$C$7:$AG$22,$G13,N$9)</f>
        <v>56.3</v>
      </c>
      <c r="O13" s="185">
        <f>INDEX(Drivers!$C$7:$AG$22,$G13,O$9)</f>
        <v>56.6</v>
      </c>
      <c r="P13" s="185">
        <f>INDEX(Drivers!$C$7:$AG$22,$G13,P$9)</f>
        <v>57.09</v>
      </c>
      <c r="Q13" s="185">
        <f>INDEX(Drivers!$C$7:$AG$22,$G13,Q$9)</f>
        <v>56.96</v>
      </c>
      <c r="R13" s="185">
        <f>INDEX(Drivers!$C$7:$AG$22,$G13,R$9)</f>
        <v>52.37</v>
      </c>
      <c r="S13" s="185">
        <f>INDEX(Drivers!$C$7:$AG$22,$G13,S$9)</f>
        <v>53.76</v>
      </c>
      <c r="T13" s="185">
        <f>INDEX(Drivers!$C$7:$AG$22,$G13,T$9)</f>
        <v>55.02</v>
      </c>
      <c r="U13" s="185">
        <f>INDEX(Drivers!$C$7:$AG$22,$G13,U$9)</f>
        <v>56.21</v>
      </c>
      <c r="V13" s="185">
        <f>INDEX(Drivers!$C$7:$AG$22,$G13,V$9)</f>
        <v>57.35</v>
      </c>
      <c r="W13" s="185">
        <f>INDEX(Drivers!$C$7:$AG$22,$G13,W$9)</f>
        <v>58.59</v>
      </c>
      <c r="X13" s="185">
        <f>INDEX(Drivers!$C$7:$AG$22,$G13,X$9)</f>
        <v>60.17</v>
      </c>
      <c r="Y13" s="185">
        <f>INDEX(Drivers!$C$7:$AG$22,$G13,Y$9)</f>
        <v>61.72</v>
      </c>
      <c r="Z13" s="185">
        <f>INDEX(Drivers!$C$7:$AG$22,$G13,Z$9)</f>
        <v>63.31</v>
      </c>
      <c r="AA13" s="185">
        <f>INDEX(Drivers!$C$7:$AG$22,$G13,AA$9)</f>
        <v>65.09</v>
      </c>
      <c r="AB13" s="185">
        <f>INDEX(Drivers!$C$7:$AG$22,$G13,AB$9)</f>
        <v>66.930000000000007</v>
      </c>
      <c r="AC13" s="185">
        <f>INDEX(Drivers!$C$7:$AG$22,$G13,AC$9)</f>
        <v>68.83</v>
      </c>
      <c r="AD13" s="185">
        <f>INDEX(Drivers!$C$7:$AG$22,$G13,AD$9)</f>
        <v>70.67</v>
      </c>
      <c r="AE13" s="185">
        <f>INDEX(Drivers!$C$7:$AG$22,$G13,AE$9)</f>
        <v>72.69</v>
      </c>
      <c r="AF13" s="185">
        <f>INDEX(Drivers!$C$7:$AG$22,$G13,AF$9)</f>
        <v>74.849999999999994</v>
      </c>
      <c r="AG13" s="185">
        <f>INDEX(Drivers!$C$7:$AG$22,$G13,AG$9)</f>
        <v>77.23</v>
      </c>
      <c r="AH13" s="185">
        <f>INDEX(Drivers!$C$7:$AG$22,$G13,AH$9)</f>
        <v>79.680000000000007</v>
      </c>
      <c r="AI13" s="185">
        <f>INDEX(Drivers!$C$7:$AG$22,$G13,AI$9)</f>
        <v>82.2</v>
      </c>
      <c r="AJ13" s="185">
        <f>INDEX(Drivers!$C$7:$AG$22,$G13,AJ$9)</f>
        <v>84.75</v>
      </c>
      <c r="AK13" s="185">
        <f>INDEX(Drivers!$C$7:$AG$22,$G13,AK$9)</f>
        <v>87.38</v>
      </c>
      <c r="AL13" s="185">
        <f>INDEX(Drivers!$C$7:$AG$22,$G13,AL$9)</f>
        <v>90.15</v>
      </c>
      <c r="AM13" s="185">
        <f>INDEX(Drivers!$C$7:$AG$22,$G13,AM$9)</f>
        <v>105</v>
      </c>
      <c r="AN13" s="185">
        <f>INDEX(Drivers!$C$7:$AG$22,$G13,AN$9)</f>
        <v>123.19</v>
      </c>
      <c r="AO13" s="185">
        <f t="shared" si="4"/>
        <v>155.67333333333409</v>
      </c>
      <c r="AP13" s="185">
        <f t="shared" si="4"/>
        <v>188.71333333333405</v>
      </c>
    </row>
    <row r="14" spans="1:48">
      <c r="A14" s="185" t="s">
        <v>16</v>
      </c>
      <c r="B14" s="186" t="str">
        <f>[4]IND!B15</f>
        <v>NF</v>
      </c>
      <c r="C14" s="186" t="str">
        <f>[4]IND!A15</f>
        <v>Precious &amp; Non-Ferrous metals</v>
      </c>
      <c r="D14" s="185">
        <f>[4]IND!M15</f>
        <v>1</v>
      </c>
      <c r="F14" s="186"/>
      <c r="G14" s="185">
        <f>MATCH(B14,Drivers!$A$7:$A$22,0)</f>
        <v>8</v>
      </c>
      <c r="H14" s="186"/>
      <c r="I14" s="186"/>
      <c r="J14" s="185">
        <f>INDEX(Drivers!$C$7:$AG$22,$G14,J$9)</f>
        <v>10.11</v>
      </c>
      <c r="K14" s="185">
        <f>INDEX(Drivers!$C$7:$AG$22,$G14,K$9)</f>
        <v>8.43</v>
      </c>
      <c r="L14" s="185">
        <f>INDEX(Drivers!$C$7:$AG$22,$G14,L$9)</f>
        <v>7.26</v>
      </c>
      <c r="M14" s="185">
        <f>INDEX(Drivers!$C$7:$AG$22,$G14,M$9)</f>
        <v>6.85</v>
      </c>
      <c r="N14" s="185">
        <f>INDEX(Drivers!$C$7:$AG$22,$G14,N$9)</f>
        <v>6.43</v>
      </c>
      <c r="O14" s="185">
        <f>INDEX(Drivers!$C$7:$AG$22,$G14,O$9)</f>
        <v>5.96</v>
      </c>
      <c r="P14" s="185">
        <f>INDEX(Drivers!$C$7:$AG$22,$G14,P$9)</f>
        <v>5.84</v>
      </c>
      <c r="Q14" s="185">
        <f>INDEX(Drivers!$C$7:$AG$22,$G14,Q$9)</f>
        <v>5.52</v>
      </c>
      <c r="R14" s="185">
        <f>INDEX(Drivers!$C$7:$AG$22,$G14,R$9)</f>
        <v>4.53</v>
      </c>
      <c r="S14" s="185">
        <f>INDEX(Drivers!$C$7:$AG$22,$G14,S$9)</f>
        <v>4.6900000000000004</v>
      </c>
      <c r="T14" s="185">
        <f>INDEX(Drivers!$C$7:$AG$22,$G14,T$9)</f>
        <v>4.71</v>
      </c>
      <c r="U14" s="185">
        <f>INDEX(Drivers!$C$7:$AG$22,$G14,U$9)</f>
        <v>4.74</v>
      </c>
      <c r="V14" s="185">
        <f>INDEX(Drivers!$C$7:$AG$22,$G14,V$9)</f>
        <v>4.7699999999999996</v>
      </c>
      <c r="W14" s="185">
        <f>INDEX(Drivers!$C$7:$AG$22,$G14,W$9)</f>
        <v>4.84</v>
      </c>
      <c r="X14" s="185">
        <f>INDEX(Drivers!$C$7:$AG$22,$G14,X$9)</f>
        <v>5.01</v>
      </c>
      <c r="Y14" s="185">
        <f>INDEX(Drivers!$C$7:$AG$22,$G14,Y$9)</f>
        <v>5.21</v>
      </c>
      <c r="Z14" s="185">
        <f>INDEX(Drivers!$C$7:$AG$22,$G14,Z$9)</f>
        <v>5.45</v>
      </c>
      <c r="AA14" s="185">
        <f>INDEX(Drivers!$C$7:$AG$22,$G14,AA$9)</f>
        <v>5.64</v>
      </c>
      <c r="AB14" s="185">
        <f>INDEX(Drivers!$C$7:$AG$22,$G14,AB$9)</f>
        <v>5.88</v>
      </c>
      <c r="AC14" s="185">
        <f>INDEX(Drivers!$C$7:$AG$22,$G14,AC$9)</f>
        <v>6.08</v>
      </c>
      <c r="AD14" s="185">
        <f>INDEX(Drivers!$C$7:$AG$22,$G14,AD$9)</f>
        <v>6.21</v>
      </c>
      <c r="AE14" s="185">
        <f>INDEX(Drivers!$C$7:$AG$22,$G14,AE$9)</f>
        <v>6.36</v>
      </c>
      <c r="AF14" s="185">
        <f>INDEX(Drivers!$C$7:$AG$22,$G14,AF$9)</f>
        <v>6.52</v>
      </c>
      <c r="AG14" s="185">
        <f>INDEX(Drivers!$C$7:$AG$22,$G14,AG$9)</f>
        <v>6.66</v>
      </c>
      <c r="AH14" s="185">
        <f>INDEX(Drivers!$C$7:$AG$22,$G14,AH$9)</f>
        <v>6.83</v>
      </c>
      <c r="AI14" s="185">
        <f>INDEX(Drivers!$C$7:$AG$22,$G14,AI$9)</f>
        <v>7</v>
      </c>
      <c r="AJ14" s="185">
        <f>INDEX(Drivers!$C$7:$AG$22,$G14,AJ$9)</f>
        <v>7.17</v>
      </c>
      <c r="AK14" s="185">
        <f>INDEX(Drivers!$C$7:$AG$22,$G14,AK$9)</f>
        <v>7.34</v>
      </c>
      <c r="AL14" s="185">
        <f>INDEX(Drivers!$C$7:$AG$22,$G14,AL$9)</f>
        <v>7.52</v>
      </c>
      <c r="AM14" s="185">
        <f>INDEX(Drivers!$C$7:$AG$22,$G14,AM$9)</f>
        <v>8.08</v>
      </c>
      <c r="AN14" s="185">
        <f>INDEX(Drivers!$C$7:$AG$22,$G14,AN$9)</f>
        <v>8.82</v>
      </c>
      <c r="AO14" s="185">
        <f t="shared" si="4"/>
        <v>10.089999999999975</v>
      </c>
      <c r="AP14" s="185">
        <f t="shared" si="4"/>
        <v>11.389999999999986</v>
      </c>
    </row>
    <row r="15" spans="1:48">
      <c r="A15" s="185" t="s">
        <v>16</v>
      </c>
      <c r="B15" s="186" t="str">
        <f>[4]IND!B16</f>
        <v>NM</v>
      </c>
      <c r="C15" s="186" t="str">
        <f>[4]IND!A16</f>
        <v>N.M.M Products</v>
      </c>
      <c r="D15" s="185">
        <f>[4]IND!M16</f>
        <v>0</v>
      </c>
      <c r="F15" s="186" t="s">
        <v>293</v>
      </c>
      <c r="G15" s="185">
        <f>MATCH(B15,Drivers!$A$7:$A$22,0)</f>
        <v>9</v>
      </c>
      <c r="H15" s="186"/>
      <c r="I15" s="186"/>
      <c r="J15" s="185">
        <f>INDEX(Drivers!$C$7:$AG$22,$G15,J$9)</f>
        <v>14.11</v>
      </c>
      <c r="K15" s="185">
        <f>INDEX(Drivers!$C$7:$AG$22,$G15,K$9)</f>
        <v>14.52</v>
      </c>
      <c r="L15" s="185">
        <f>INDEX(Drivers!$C$7:$AG$22,$G15,L$9)</f>
        <v>14.79</v>
      </c>
      <c r="M15" s="185">
        <f>INDEX(Drivers!$C$7:$AG$22,$G15,M$9)</f>
        <v>15.03</v>
      </c>
      <c r="N15" s="185">
        <f>INDEX(Drivers!$C$7:$AG$22,$G15,N$9)</f>
        <v>15.21</v>
      </c>
      <c r="O15" s="185">
        <f>INDEX(Drivers!$C$7:$AG$22,$G15,O$9)</f>
        <v>15.35</v>
      </c>
      <c r="P15" s="185">
        <f>INDEX(Drivers!$C$7:$AG$22,$G15,P$9)</f>
        <v>15.51</v>
      </c>
      <c r="Q15" s="185">
        <f>INDEX(Drivers!$C$7:$AG$22,$G15,Q$9)</f>
        <v>15.54</v>
      </c>
      <c r="R15" s="185">
        <f>INDEX(Drivers!$C$7:$AG$22,$G15,R$9)</f>
        <v>14.21</v>
      </c>
      <c r="S15" s="185">
        <f>INDEX(Drivers!$C$7:$AG$22,$G15,S$9)</f>
        <v>14.6</v>
      </c>
      <c r="T15" s="185">
        <f>INDEX(Drivers!$C$7:$AG$22,$G15,T$9)</f>
        <v>14.95</v>
      </c>
      <c r="U15" s="185">
        <f>INDEX(Drivers!$C$7:$AG$22,$G15,U$9)</f>
        <v>15.3</v>
      </c>
      <c r="V15" s="185">
        <f>INDEX(Drivers!$C$7:$AG$22,$G15,V$9)</f>
        <v>15.64</v>
      </c>
      <c r="W15" s="185">
        <f>INDEX(Drivers!$C$7:$AG$22,$G15,W$9)</f>
        <v>16</v>
      </c>
      <c r="X15" s="185">
        <f>INDEX(Drivers!$C$7:$AG$22,$G15,X$9)</f>
        <v>16.440000000000001</v>
      </c>
      <c r="Y15" s="185">
        <f>INDEX(Drivers!$C$7:$AG$22,$G15,Y$9)</f>
        <v>16.88</v>
      </c>
      <c r="Z15" s="185">
        <f>INDEX(Drivers!$C$7:$AG$22,$G15,Z$9)</f>
        <v>17.34</v>
      </c>
      <c r="AA15" s="185">
        <f>INDEX(Drivers!$C$7:$AG$22,$G15,AA$9)</f>
        <v>17.8</v>
      </c>
      <c r="AB15" s="185">
        <f>INDEX(Drivers!$C$7:$AG$22,$G15,AB$9)</f>
        <v>18.27</v>
      </c>
      <c r="AC15" s="185">
        <f>INDEX(Drivers!$C$7:$AG$22,$G15,AC$9)</f>
        <v>18.809999999999999</v>
      </c>
      <c r="AD15" s="185">
        <f>INDEX(Drivers!$C$7:$AG$22,$G15,AD$9)</f>
        <v>19.32</v>
      </c>
      <c r="AE15" s="185">
        <f>INDEX(Drivers!$C$7:$AG$22,$G15,AE$9)</f>
        <v>19.88</v>
      </c>
      <c r="AF15" s="185">
        <f>INDEX(Drivers!$C$7:$AG$22,$G15,AF$9)</f>
        <v>20.49</v>
      </c>
      <c r="AG15" s="185">
        <f>INDEX(Drivers!$C$7:$AG$22,$G15,AG$9)</f>
        <v>21.14</v>
      </c>
      <c r="AH15" s="185">
        <f>INDEX(Drivers!$C$7:$AG$22,$G15,AH$9)</f>
        <v>21.81</v>
      </c>
      <c r="AI15" s="185">
        <f>INDEX(Drivers!$C$7:$AG$22,$G15,AI$9)</f>
        <v>22.5</v>
      </c>
      <c r="AJ15" s="185">
        <f>INDEX(Drivers!$C$7:$AG$22,$G15,AJ$9)</f>
        <v>23.19</v>
      </c>
      <c r="AK15" s="185">
        <f>INDEX(Drivers!$C$7:$AG$22,$G15,AK$9)</f>
        <v>23.92</v>
      </c>
      <c r="AL15" s="185">
        <f>INDEX(Drivers!$C$7:$AG$22,$G15,AL$9)</f>
        <v>24.68</v>
      </c>
      <c r="AM15" s="185">
        <f>INDEX(Drivers!$C$7:$AG$22,$G15,AM$9)</f>
        <v>28.99</v>
      </c>
      <c r="AN15" s="185">
        <f>INDEX(Drivers!$C$7:$AG$22,$G15,AN$9)</f>
        <v>34.44</v>
      </c>
      <c r="AO15" s="185">
        <f t="shared" si="4"/>
        <v>44.009999999999991</v>
      </c>
      <c r="AP15" s="185">
        <f t="shared" si="4"/>
        <v>53.769999999999982</v>
      </c>
    </row>
    <row r="16" spans="1:48">
      <c r="A16" s="185" t="s">
        <v>16</v>
      </c>
      <c r="B16" s="186" t="str">
        <f t="shared" ref="B16:D18" si="5">B15</f>
        <v>NM</v>
      </c>
      <c r="C16" s="186" t="str">
        <f t="shared" si="5"/>
        <v>N.M.M Products</v>
      </c>
      <c r="D16" s="185">
        <f t="shared" si="5"/>
        <v>0</v>
      </c>
      <c r="F16" s="186" t="s">
        <v>297</v>
      </c>
      <c r="G16" s="185">
        <f>MATCH(B16,Drivers!$A$7:$A$22,0)</f>
        <v>9</v>
      </c>
      <c r="H16" s="186"/>
      <c r="I16" s="186"/>
      <c r="J16" s="185">
        <f>INDEX(Drivers!$C$7:$AG$22,$G16,J$9)</f>
        <v>14.11</v>
      </c>
      <c r="K16" s="185">
        <f>INDEX(Drivers!$C$7:$AG$22,$G16,K$9)</f>
        <v>14.52</v>
      </c>
      <c r="L16" s="185">
        <f>INDEX(Drivers!$C$7:$AG$22,$G16,L$9)</f>
        <v>14.79</v>
      </c>
      <c r="M16" s="185">
        <f>INDEX(Drivers!$C$7:$AG$22,$G16,M$9)</f>
        <v>15.03</v>
      </c>
      <c r="N16" s="185">
        <f>INDEX(Drivers!$C$7:$AG$22,$G16,N$9)</f>
        <v>15.21</v>
      </c>
      <c r="O16" s="185">
        <f>INDEX(Drivers!$C$7:$AG$22,$G16,O$9)</f>
        <v>15.35</v>
      </c>
      <c r="P16" s="185">
        <f>INDEX(Drivers!$C$7:$AG$22,$G16,P$9)</f>
        <v>15.51</v>
      </c>
      <c r="Q16" s="185">
        <f>INDEX(Drivers!$C$7:$AG$22,$G16,Q$9)</f>
        <v>15.54</v>
      </c>
      <c r="R16" s="185">
        <f>INDEX(Drivers!$C$7:$AG$22,$G16,R$9)</f>
        <v>14.21</v>
      </c>
      <c r="S16" s="185">
        <f>INDEX(Drivers!$C$7:$AG$22,$G16,S$9)</f>
        <v>14.6</v>
      </c>
      <c r="T16" s="185">
        <f>INDEX(Drivers!$C$7:$AG$22,$G16,T$9)</f>
        <v>14.95</v>
      </c>
      <c r="U16" s="185">
        <f>INDEX(Drivers!$C$7:$AG$22,$G16,U$9)</f>
        <v>15.3</v>
      </c>
      <c r="V16" s="185">
        <f>INDEX(Drivers!$C$7:$AG$22,$G16,V$9)</f>
        <v>15.64</v>
      </c>
      <c r="W16" s="185">
        <f>INDEX(Drivers!$C$7:$AG$22,$G16,W$9)</f>
        <v>16</v>
      </c>
      <c r="X16" s="185">
        <f>INDEX(Drivers!$C$7:$AG$22,$G16,X$9)</f>
        <v>16.440000000000001</v>
      </c>
      <c r="Y16" s="185">
        <f>INDEX(Drivers!$C$7:$AG$22,$G16,Y$9)</f>
        <v>16.88</v>
      </c>
      <c r="Z16" s="185">
        <f>INDEX(Drivers!$C$7:$AG$22,$G16,Z$9)</f>
        <v>17.34</v>
      </c>
      <c r="AA16" s="185">
        <f>INDEX(Drivers!$C$7:$AG$22,$G16,AA$9)</f>
        <v>17.8</v>
      </c>
      <c r="AB16" s="185">
        <f>INDEX(Drivers!$C$7:$AG$22,$G16,AB$9)</f>
        <v>18.27</v>
      </c>
      <c r="AC16" s="185">
        <f>INDEX(Drivers!$C$7:$AG$22,$G16,AC$9)</f>
        <v>18.809999999999999</v>
      </c>
      <c r="AD16" s="185">
        <f>INDEX(Drivers!$C$7:$AG$22,$G16,AD$9)</f>
        <v>19.32</v>
      </c>
      <c r="AE16" s="185">
        <f>INDEX(Drivers!$C$7:$AG$22,$G16,AE$9)</f>
        <v>19.88</v>
      </c>
      <c r="AF16" s="185">
        <f>INDEX(Drivers!$C$7:$AG$22,$G16,AF$9)</f>
        <v>20.49</v>
      </c>
      <c r="AG16" s="185">
        <f>INDEX(Drivers!$C$7:$AG$22,$G16,AG$9)</f>
        <v>21.14</v>
      </c>
      <c r="AH16" s="185">
        <f>INDEX(Drivers!$C$7:$AG$22,$G16,AH$9)</f>
        <v>21.81</v>
      </c>
      <c r="AI16" s="185">
        <f>INDEX(Drivers!$C$7:$AG$22,$G16,AI$9)</f>
        <v>22.5</v>
      </c>
      <c r="AJ16" s="185">
        <f>INDEX(Drivers!$C$7:$AG$22,$G16,AJ$9)</f>
        <v>23.19</v>
      </c>
      <c r="AK16" s="185">
        <f>INDEX(Drivers!$C$7:$AG$22,$G16,AK$9)</f>
        <v>23.92</v>
      </c>
      <c r="AL16" s="185">
        <f>INDEX(Drivers!$C$7:$AG$22,$G16,AL$9)</f>
        <v>24.68</v>
      </c>
      <c r="AM16" s="185">
        <f>INDEX(Drivers!$C$7:$AG$22,$G16,AM$9)</f>
        <v>28.99</v>
      </c>
      <c r="AN16" s="185">
        <f>INDEX(Drivers!$C$7:$AG$22,$G16,AN$9)</f>
        <v>34.44</v>
      </c>
      <c r="AO16" s="185">
        <f t="shared" si="4"/>
        <v>44.009999999999991</v>
      </c>
      <c r="AP16" s="185">
        <f t="shared" si="4"/>
        <v>53.769999999999982</v>
      </c>
    </row>
    <row r="17" spans="1:42">
      <c r="A17" s="185" t="s">
        <v>16</v>
      </c>
      <c r="B17" s="186" t="str">
        <f t="shared" si="5"/>
        <v>NM</v>
      </c>
      <c r="C17" s="186" t="str">
        <f t="shared" si="5"/>
        <v>N.M.M Products</v>
      </c>
      <c r="D17" s="185">
        <f t="shared" si="5"/>
        <v>0</v>
      </c>
      <c r="F17" s="186" t="s">
        <v>298</v>
      </c>
      <c r="G17" s="185">
        <f>MATCH(B17,Drivers!$A$7:$A$22,0)</f>
        <v>9</v>
      </c>
      <c r="H17" s="186"/>
      <c r="I17" s="186"/>
      <c r="J17" s="185">
        <f>INDEX(Drivers!$C$7:$AG$22,$G17,J$9)</f>
        <v>14.11</v>
      </c>
      <c r="K17" s="185">
        <f>INDEX(Drivers!$C$7:$AG$22,$G17,K$9)</f>
        <v>14.52</v>
      </c>
      <c r="L17" s="185">
        <f>INDEX(Drivers!$C$7:$AG$22,$G17,L$9)</f>
        <v>14.79</v>
      </c>
      <c r="M17" s="185">
        <f>INDEX(Drivers!$C$7:$AG$22,$G17,M$9)</f>
        <v>15.03</v>
      </c>
      <c r="N17" s="185">
        <f>INDEX(Drivers!$C$7:$AG$22,$G17,N$9)</f>
        <v>15.21</v>
      </c>
      <c r="O17" s="185">
        <f>INDEX(Drivers!$C$7:$AG$22,$G17,O$9)</f>
        <v>15.35</v>
      </c>
      <c r="P17" s="185">
        <f>INDEX(Drivers!$C$7:$AG$22,$G17,P$9)</f>
        <v>15.51</v>
      </c>
      <c r="Q17" s="185">
        <f>INDEX(Drivers!$C$7:$AG$22,$G17,Q$9)</f>
        <v>15.54</v>
      </c>
      <c r="R17" s="185">
        <f>INDEX(Drivers!$C$7:$AG$22,$G17,R$9)</f>
        <v>14.21</v>
      </c>
      <c r="S17" s="185">
        <f>INDEX(Drivers!$C$7:$AG$22,$G17,S$9)</f>
        <v>14.6</v>
      </c>
      <c r="T17" s="185">
        <f>INDEX(Drivers!$C$7:$AG$22,$G17,T$9)</f>
        <v>14.95</v>
      </c>
      <c r="U17" s="185">
        <f>INDEX(Drivers!$C$7:$AG$22,$G17,U$9)</f>
        <v>15.3</v>
      </c>
      <c r="V17" s="185">
        <f>INDEX(Drivers!$C$7:$AG$22,$G17,V$9)</f>
        <v>15.64</v>
      </c>
      <c r="W17" s="185">
        <f>INDEX(Drivers!$C$7:$AG$22,$G17,W$9)</f>
        <v>16</v>
      </c>
      <c r="X17" s="185">
        <f>INDEX(Drivers!$C$7:$AG$22,$G17,X$9)</f>
        <v>16.440000000000001</v>
      </c>
      <c r="Y17" s="185">
        <f>INDEX(Drivers!$C$7:$AG$22,$G17,Y$9)</f>
        <v>16.88</v>
      </c>
      <c r="Z17" s="185">
        <f>INDEX(Drivers!$C$7:$AG$22,$G17,Z$9)</f>
        <v>17.34</v>
      </c>
      <c r="AA17" s="185">
        <f>INDEX(Drivers!$C$7:$AG$22,$G17,AA$9)</f>
        <v>17.8</v>
      </c>
      <c r="AB17" s="185">
        <f>INDEX(Drivers!$C$7:$AG$22,$G17,AB$9)</f>
        <v>18.27</v>
      </c>
      <c r="AC17" s="185">
        <f>INDEX(Drivers!$C$7:$AG$22,$G17,AC$9)</f>
        <v>18.809999999999999</v>
      </c>
      <c r="AD17" s="185">
        <f>INDEX(Drivers!$C$7:$AG$22,$G17,AD$9)</f>
        <v>19.32</v>
      </c>
      <c r="AE17" s="185">
        <f>INDEX(Drivers!$C$7:$AG$22,$G17,AE$9)</f>
        <v>19.88</v>
      </c>
      <c r="AF17" s="185">
        <f>INDEX(Drivers!$C$7:$AG$22,$G17,AF$9)</f>
        <v>20.49</v>
      </c>
      <c r="AG17" s="185">
        <f>INDEX(Drivers!$C$7:$AG$22,$G17,AG$9)</f>
        <v>21.14</v>
      </c>
      <c r="AH17" s="185">
        <f>INDEX(Drivers!$C$7:$AG$22,$G17,AH$9)</f>
        <v>21.81</v>
      </c>
      <c r="AI17" s="185">
        <f>INDEX(Drivers!$C$7:$AG$22,$G17,AI$9)</f>
        <v>22.5</v>
      </c>
      <c r="AJ17" s="185">
        <f>INDEX(Drivers!$C$7:$AG$22,$G17,AJ$9)</f>
        <v>23.19</v>
      </c>
      <c r="AK17" s="185">
        <f>INDEX(Drivers!$C$7:$AG$22,$G17,AK$9)</f>
        <v>23.92</v>
      </c>
      <c r="AL17" s="185">
        <f>INDEX(Drivers!$C$7:$AG$22,$G17,AL$9)</f>
        <v>24.68</v>
      </c>
      <c r="AM17" s="185">
        <f>INDEX(Drivers!$C$7:$AG$22,$G17,AM$9)</f>
        <v>28.99</v>
      </c>
      <c r="AN17" s="185">
        <f>INDEX(Drivers!$C$7:$AG$22,$G17,AN$9)</f>
        <v>34.44</v>
      </c>
      <c r="AO17" s="185">
        <f t="shared" si="4"/>
        <v>44.009999999999991</v>
      </c>
      <c r="AP17" s="185">
        <f t="shared" si="4"/>
        <v>53.769999999999982</v>
      </c>
    </row>
    <row r="18" spans="1:42">
      <c r="A18" s="185" t="s">
        <v>16</v>
      </c>
      <c r="B18" s="186" t="str">
        <f t="shared" si="5"/>
        <v>NM</v>
      </c>
      <c r="C18" s="186" t="str">
        <f t="shared" si="5"/>
        <v>N.M.M Products</v>
      </c>
      <c r="D18" s="185">
        <f t="shared" si="5"/>
        <v>0</v>
      </c>
      <c r="F18" s="186" t="s">
        <v>299</v>
      </c>
      <c r="G18" s="185">
        <f>MATCH(B18,Drivers!$A$7:$A$22,0)</f>
        <v>9</v>
      </c>
      <c r="H18" s="186"/>
      <c r="I18" s="186"/>
      <c r="J18" s="185">
        <f>INDEX(Drivers!$C$7:$AG$22,$G18,J$9)</f>
        <v>14.11</v>
      </c>
      <c r="K18" s="185">
        <f>INDEX(Drivers!$C$7:$AG$22,$G18,K$9)</f>
        <v>14.52</v>
      </c>
      <c r="L18" s="185">
        <f>INDEX(Drivers!$C$7:$AG$22,$G18,L$9)</f>
        <v>14.79</v>
      </c>
      <c r="M18" s="185">
        <f>INDEX(Drivers!$C$7:$AG$22,$G18,M$9)</f>
        <v>15.03</v>
      </c>
      <c r="N18" s="185">
        <f>INDEX(Drivers!$C$7:$AG$22,$G18,N$9)</f>
        <v>15.21</v>
      </c>
      <c r="O18" s="185">
        <f>INDEX(Drivers!$C$7:$AG$22,$G18,O$9)</f>
        <v>15.35</v>
      </c>
      <c r="P18" s="185">
        <f>INDEX(Drivers!$C$7:$AG$22,$G18,P$9)</f>
        <v>15.51</v>
      </c>
      <c r="Q18" s="185">
        <f>INDEX(Drivers!$C$7:$AG$22,$G18,Q$9)</f>
        <v>15.54</v>
      </c>
      <c r="R18" s="185">
        <f>INDEX(Drivers!$C$7:$AG$22,$G18,R$9)</f>
        <v>14.21</v>
      </c>
      <c r="S18" s="185">
        <f>INDEX(Drivers!$C$7:$AG$22,$G18,S$9)</f>
        <v>14.6</v>
      </c>
      <c r="T18" s="185">
        <f>INDEX(Drivers!$C$7:$AG$22,$G18,T$9)</f>
        <v>14.95</v>
      </c>
      <c r="U18" s="185">
        <f>INDEX(Drivers!$C$7:$AG$22,$G18,U$9)</f>
        <v>15.3</v>
      </c>
      <c r="V18" s="185">
        <f>INDEX(Drivers!$C$7:$AG$22,$G18,V$9)</f>
        <v>15.64</v>
      </c>
      <c r="W18" s="185">
        <f>INDEX(Drivers!$C$7:$AG$22,$G18,W$9)</f>
        <v>16</v>
      </c>
      <c r="X18" s="185">
        <f>INDEX(Drivers!$C$7:$AG$22,$G18,X$9)</f>
        <v>16.440000000000001</v>
      </c>
      <c r="Y18" s="185">
        <f>INDEX(Drivers!$C$7:$AG$22,$G18,Y$9)</f>
        <v>16.88</v>
      </c>
      <c r="Z18" s="185">
        <f>INDEX(Drivers!$C$7:$AG$22,$G18,Z$9)</f>
        <v>17.34</v>
      </c>
      <c r="AA18" s="185">
        <f>INDEX(Drivers!$C$7:$AG$22,$G18,AA$9)</f>
        <v>17.8</v>
      </c>
      <c r="AB18" s="185">
        <f>INDEX(Drivers!$C$7:$AG$22,$G18,AB$9)</f>
        <v>18.27</v>
      </c>
      <c r="AC18" s="185">
        <f>INDEX(Drivers!$C$7:$AG$22,$G18,AC$9)</f>
        <v>18.809999999999999</v>
      </c>
      <c r="AD18" s="185">
        <f>INDEX(Drivers!$C$7:$AG$22,$G18,AD$9)</f>
        <v>19.32</v>
      </c>
      <c r="AE18" s="185">
        <f>INDEX(Drivers!$C$7:$AG$22,$G18,AE$9)</f>
        <v>19.88</v>
      </c>
      <c r="AF18" s="185">
        <f>INDEX(Drivers!$C$7:$AG$22,$G18,AF$9)</f>
        <v>20.49</v>
      </c>
      <c r="AG18" s="185">
        <f>INDEX(Drivers!$C$7:$AG$22,$G18,AG$9)</f>
        <v>21.14</v>
      </c>
      <c r="AH18" s="185">
        <f>INDEX(Drivers!$C$7:$AG$22,$G18,AH$9)</f>
        <v>21.81</v>
      </c>
      <c r="AI18" s="185">
        <f>INDEX(Drivers!$C$7:$AG$22,$G18,AI$9)</f>
        <v>22.5</v>
      </c>
      <c r="AJ18" s="185">
        <f>INDEX(Drivers!$C$7:$AG$22,$G18,AJ$9)</f>
        <v>23.19</v>
      </c>
      <c r="AK18" s="185">
        <f>INDEX(Drivers!$C$7:$AG$22,$G18,AK$9)</f>
        <v>23.92</v>
      </c>
      <c r="AL18" s="185">
        <f>INDEX(Drivers!$C$7:$AG$22,$G18,AL$9)</f>
        <v>24.68</v>
      </c>
      <c r="AM18" s="185">
        <f>INDEX(Drivers!$C$7:$AG$22,$G18,AM$9)</f>
        <v>28.99</v>
      </c>
      <c r="AN18" s="185">
        <f>INDEX(Drivers!$C$7:$AG$22,$G18,AN$9)</f>
        <v>34.44</v>
      </c>
      <c r="AO18" s="185">
        <f t="shared" si="4"/>
        <v>44.009999999999991</v>
      </c>
      <c r="AP18" s="185">
        <f t="shared" si="4"/>
        <v>53.769999999999982</v>
      </c>
    </row>
    <row r="19" spans="1:42">
      <c r="A19" s="185" t="s">
        <v>16</v>
      </c>
      <c r="B19" s="186" t="str">
        <f>[4]IND!B17</f>
        <v>FB</v>
      </c>
      <c r="C19" s="186" t="str">
        <f>[4]IND!A17</f>
        <v>Food, Beverage &amp; Tabacco</v>
      </c>
      <c r="D19" s="185">
        <f>[4]IND!M17</f>
        <v>1</v>
      </c>
      <c r="F19" s="186"/>
      <c r="G19" s="185">
        <f>MATCH(B19,Drivers!$A$7:$A$22,0)</f>
        <v>4</v>
      </c>
      <c r="H19" s="186"/>
      <c r="I19" s="186"/>
      <c r="J19" s="185">
        <f>INDEX(Drivers!$C$7:$AG$22,$G19,J$9)</f>
        <v>93.1</v>
      </c>
      <c r="K19" s="185">
        <f>INDEX(Drivers!$C$7:$AG$22,$G19,K$9)</f>
        <v>94.81</v>
      </c>
      <c r="L19" s="185">
        <f>INDEX(Drivers!$C$7:$AG$22,$G19,L$9)</f>
        <v>96.04</v>
      </c>
      <c r="M19" s="185">
        <f>INDEX(Drivers!$C$7:$AG$22,$G19,M$9)</f>
        <v>96.13</v>
      </c>
      <c r="N19" s="185">
        <f>INDEX(Drivers!$C$7:$AG$22,$G19,N$9)</f>
        <v>97.44</v>
      </c>
      <c r="O19" s="185">
        <f>INDEX(Drivers!$C$7:$AG$22,$G19,O$9)</f>
        <v>97.81</v>
      </c>
      <c r="P19" s="185">
        <f>INDEX(Drivers!$C$7:$AG$22,$G19,P$9)</f>
        <v>98.48</v>
      </c>
      <c r="Q19" s="185">
        <f>INDEX(Drivers!$C$7:$AG$22,$G19,Q$9)</f>
        <v>97.71</v>
      </c>
      <c r="R19" s="185">
        <f>INDEX(Drivers!$C$7:$AG$22,$G19,R$9)</f>
        <v>92.79</v>
      </c>
      <c r="S19" s="185">
        <f>INDEX(Drivers!$C$7:$AG$22,$G19,S$9)</f>
        <v>95.58</v>
      </c>
      <c r="T19" s="185">
        <f>INDEX(Drivers!$C$7:$AG$22,$G19,T$9)</f>
        <v>98.13</v>
      </c>
      <c r="U19" s="185">
        <f>INDEX(Drivers!$C$7:$AG$22,$G19,U$9)</f>
        <v>100.22</v>
      </c>
      <c r="V19" s="185">
        <f>INDEX(Drivers!$C$7:$AG$22,$G19,V$9)</f>
        <v>102.18</v>
      </c>
      <c r="W19" s="185">
        <f>INDEX(Drivers!$C$7:$AG$22,$G19,W$9)</f>
        <v>104.28</v>
      </c>
      <c r="X19" s="185">
        <f>INDEX(Drivers!$C$7:$AG$22,$G19,X$9)</f>
        <v>107.16</v>
      </c>
      <c r="Y19" s="185">
        <f>INDEX(Drivers!$C$7:$AG$22,$G19,Y$9)</f>
        <v>109.9</v>
      </c>
      <c r="Z19" s="185">
        <f>INDEX(Drivers!$C$7:$AG$22,$G19,Z$9)</f>
        <v>112.65</v>
      </c>
      <c r="AA19" s="185">
        <f>INDEX(Drivers!$C$7:$AG$22,$G19,AA$9)</f>
        <v>115.22</v>
      </c>
      <c r="AB19" s="185">
        <f>INDEX(Drivers!$C$7:$AG$22,$G19,AB$9)</f>
        <v>117.84</v>
      </c>
      <c r="AC19" s="185">
        <f>INDEX(Drivers!$C$7:$AG$22,$G19,AC$9)</f>
        <v>120.44</v>
      </c>
      <c r="AD19" s="185">
        <f>INDEX(Drivers!$C$7:$AG$22,$G19,AD$9)</f>
        <v>122.85</v>
      </c>
      <c r="AE19" s="185">
        <f>INDEX(Drivers!$C$7:$AG$22,$G19,AE$9)</f>
        <v>125.47</v>
      </c>
      <c r="AF19" s="185">
        <f>INDEX(Drivers!$C$7:$AG$22,$G19,AF$9)</f>
        <v>128.21</v>
      </c>
      <c r="AG19" s="185">
        <f>INDEX(Drivers!$C$7:$AG$22,$G19,AG$9)</f>
        <v>131.01</v>
      </c>
      <c r="AH19" s="185">
        <f>INDEX(Drivers!$C$7:$AG$22,$G19,AH$9)</f>
        <v>134.12</v>
      </c>
      <c r="AI19" s="185">
        <f>INDEX(Drivers!$C$7:$AG$22,$G19,AI$9)</f>
        <v>137.33000000000001</v>
      </c>
      <c r="AJ19" s="185">
        <f>INDEX(Drivers!$C$7:$AG$22,$G19,AJ$9)</f>
        <v>140.49</v>
      </c>
      <c r="AK19" s="185">
        <f>INDEX(Drivers!$C$7:$AG$22,$G19,AK$9)</f>
        <v>143.72</v>
      </c>
      <c r="AL19" s="185">
        <f>INDEX(Drivers!$C$7:$AG$22,$G19,AL$9)</f>
        <v>147.09</v>
      </c>
      <c r="AM19" s="185">
        <f>INDEX(Drivers!$C$7:$AG$22,$G19,AM$9)</f>
        <v>164.01</v>
      </c>
      <c r="AN19" s="185">
        <f>INDEX(Drivers!$C$7:$AG$22,$G19,AN$9)</f>
        <v>184.39</v>
      </c>
      <c r="AO19" s="185">
        <f t="shared" si="4"/>
        <v>221.11333333333278</v>
      </c>
      <c r="AP19" s="185">
        <f t="shared" si="4"/>
        <v>258.41333333333296</v>
      </c>
    </row>
    <row r="20" spans="1:42">
      <c r="A20" s="185" t="s">
        <v>16</v>
      </c>
      <c r="B20" s="186" t="str">
        <f>[4]IND!B18</f>
        <v>PP</v>
      </c>
      <c r="C20" s="186" t="str">
        <f>[4]IND!A18</f>
        <v>Pulp &amp; Paper Products</v>
      </c>
      <c r="D20" s="185">
        <f>[4]IND!M18</f>
        <v>0</v>
      </c>
      <c r="F20" s="186" t="s">
        <v>300</v>
      </c>
      <c r="G20" s="185">
        <f>MATCH(B20,Drivers!$A$7:$A$22,0)</f>
        <v>12</v>
      </c>
      <c r="H20" s="186"/>
      <c r="I20" s="186"/>
      <c r="J20" s="185">
        <f>INDEX(Drivers!$C$7:$AG$22,$G20,J$9)</f>
        <v>17.78</v>
      </c>
      <c r="K20" s="185">
        <f>INDEX(Drivers!$C$7:$AG$22,$G20,K$9)</f>
        <v>18.190000000000001</v>
      </c>
      <c r="L20" s="185">
        <f>INDEX(Drivers!$C$7:$AG$22,$G20,L$9)</f>
        <v>18.54</v>
      </c>
      <c r="M20" s="185">
        <f>INDEX(Drivers!$C$7:$AG$22,$G20,M$9)</f>
        <v>18.73</v>
      </c>
      <c r="N20" s="185">
        <f>INDEX(Drivers!$C$7:$AG$22,$G20,N$9)</f>
        <v>19.13</v>
      </c>
      <c r="O20" s="185">
        <f>INDEX(Drivers!$C$7:$AG$22,$G20,O$9)</f>
        <v>19.23</v>
      </c>
      <c r="P20" s="185">
        <f>INDEX(Drivers!$C$7:$AG$22,$G20,P$9)</f>
        <v>19.5</v>
      </c>
      <c r="Q20" s="185">
        <f>INDEX(Drivers!$C$7:$AG$22,$G20,Q$9)</f>
        <v>19.52</v>
      </c>
      <c r="R20" s="185">
        <f>INDEX(Drivers!$C$7:$AG$22,$G20,R$9)</f>
        <v>18.16</v>
      </c>
      <c r="S20" s="185">
        <f>INDEX(Drivers!$C$7:$AG$22,$G20,S$9)</f>
        <v>18.68</v>
      </c>
      <c r="T20" s="185">
        <f>INDEX(Drivers!$C$7:$AG$22,$G20,T$9)</f>
        <v>19.149999999999999</v>
      </c>
      <c r="U20" s="185">
        <f>INDEX(Drivers!$C$7:$AG$22,$G20,U$9)</f>
        <v>19.61</v>
      </c>
      <c r="V20" s="185">
        <f>INDEX(Drivers!$C$7:$AG$22,$G20,V$9)</f>
        <v>20.04</v>
      </c>
      <c r="W20" s="185">
        <f>INDEX(Drivers!$C$7:$AG$22,$G20,W$9)</f>
        <v>20.51</v>
      </c>
      <c r="X20" s="185">
        <f>INDEX(Drivers!$C$7:$AG$22,$G20,X$9)</f>
        <v>21.11</v>
      </c>
      <c r="Y20" s="185">
        <f>INDEX(Drivers!$C$7:$AG$22,$G20,Y$9)</f>
        <v>21.69</v>
      </c>
      <c r="Z20" s="185">
        <f>INDEX(Drivers!$C$7:$AG$22,$G20,Z$9)</f>
        <v>22.28</v>
      </c>
      <c r="AA20" s="185">
        <f>INDEX(Drivers!$C$7:$AG$22,$G20,AA$9)</f>
        <v>22.83</v>
      </c>
      <c r="AB20" s="185">
        <f>INDEX(Drivers!$C$7:$AG$22,$G20,AB$9)</f>
        <v>23.42</v>
      </c>
      <c r="AC20" s="185">
        <f>INDEX(Drivers!$C$7:$AG$22,$G20,AC$9)</f>
        <v>24.02</v>
      </c>
      <c r="AD20" s="185">
        <f>INDEX(Drivers!$C$7:$AG$22,$G20,AD$9)</f>
        <v>24.61</v>
      </c>
      <c r="AE20" s="185">
        <f>INDEX(Drivers!$C$7:$AG$22,$G20,AE$9)</f>
        <v>25.26</v>
      </c>
      <c r="AF20" s="185">
        <f>INDEX(Drivers!$C$7:$AG$22,$G20,AF$9)</f>
        <v>25.94</v>
      </c>
      <c r="AG20" s="185">
        <f>INDEX(Drivers!$C$7:$AG$22,$G20,AG$9)</f>
        <v>26.65</v>
      </c>
      <c r="AH20" s="185">
        <f>INDEX(Drivers!$C$7:$AG$22,$G20,AH$9)</f>
        <v>27.42</v>
      </c>
      <c r="AI20" s="185">
        <f>INDEX(Drivers!$C$7:$AG$22,$G20,AI$9)</f>
        <v>28.22</v>
      </c>
      <c r="AJ20" s="185">
        <f>INDEX(Drivers!$C$7:$AG$22,$G20,AJ$9)</f>
        <v>29.03</v>
      </c>
      <c r="AK20" s="185">
        <f>INDEX(Drivers!$C$7:$AG$22,$G20,AK$9)</f>
        <v>29.88</v>
      </c>
      <c r="AL20" s="185">
        <f>INDEX(Drivers!$C$7:$AG$22,$G20,AL$9)</f>
        <v>30.78</v>
      </c>
      <c r="AM20" s="185">
        <f>INDEX(Drivers!$C$7:$AG$22,$G20,AM$9)</f>
        <v>35.619999999999997</v>
      </c>
      <c r="AN20" s="185">
        <f>INDEX(Drivers!$C$7:$AG$22,$G20,AN$9)</f>
        <v>41.7</v>
      </c>
      <c r="AO20" s="185">
        <f t="shared" si="4"/>
        <v>52.413333333332957</v>
      </c>
      <c r="AP20" s="185">
        <f t="shared" si="4"/>
        <v>63.33333333333303</v>
      </c>
    </row>
    <row r="21" spans="1:42">
      <c r="A21" s="185" t="s">
        <v>16</v>
      </c>
      <c r="B21" s="186" t="str">
        <f>B20</f>
        <v>PP</v>
      </c>
      <c r="C21" s="186" t="str">
        <f>C20</f>
        <v>Pulp &amp; Paper Products</v>
      </c>
      <c r="D21" s="185">
        <f>D20</f>
        <v>0</v>
      </c>
      <c r="F21" s="186" t="s">
        <v>301</v>
      </c>
      <c r="G21" s="185">
        <f>MATCH(B21,Drivers!$A$7:$A$22,0)</f>
        <v>12</v>
      </c>
      <c r="H21" s="186"/>
      <c r="I21" s="186"/>
      <c r="J21" s="185">
        <f>INDEX(Drivers!$C$7:$AG$22,$G21,J$9)</f>
        <v>17.78</v>
      </c>
      <c r="K21" s="185">
        <f>INDEX(Drivers!$C$7:$AG$22,$G21,K$9)</f>
        <v>18.190000000000001</v>
      </c>
      <c r="L21" s="185">
        <f>INDEX(Drivers!$C$7:$AG$22,$G21,L$9)</f>
        <v>18.54</v>
      </c>
      <c r="M21" s="185">
        <f>INDEX(Drivers!$C$7:$AG$22,$G21,M$9)</f>
        <v>18.73</v>
      </c>
      <c r="N21" s="185">
        <f>INDEX(Drivers!$C$7:$AG$22,$G21,N$9)</f>
        <v>19.13</v>
      </c>
      <c r="O21" s="185">
        <f>INDEX(Drivers!$C$7:$AG$22,$G21,O$9)</f>
        <v>19.23</v>
      </c>
      <c r="P21" s="185">
        <f>INDEX(Drivers!$C$7:$AG$22,$G21,P$9)</f>
        <v>19.5</v>
      </c>
      <c r="Q21" s="185">
        <f>INDEX(Drivers!$C$7:$AG$22,$G21,Q$9)</f>
        <v>19.52</v>
      </c>
      <c r="R21" s="185">
        <f>INDEX(Drivers!$C$7:$AG$22,$G21,R$9)</f>
        <v>18.16</v>
      </c>
      <c r="S21" s="185">
        <f>INDEX(Drivers!$C$7:$AG$22,$G21,S$9)</f>
        <v>18.68</v>
      </c>
      <c r="T21" s="185">
        <f>INDEX(Drivers!$C$7:$AG$22,$G21,T$9)</f>
        <v>19.149999999999999</v>
      </c>
      <c r="U21" s="185">
        <f>INDEX(Drivers!$C$7:$AG$22,$G21,U$9)</f>
        <v>19.61</v>
      </c>
      <c r="V21" s="185">
        <f>INDEX(Drivers!$C$7:$AG$22,$G21,V$9)</f>
        <v>20.04</v>
      </c>
      <c r="W21" s="185">
        <f>INDEX(Drivers!$C$7:$AG$22,$G21,W$9)</f>
        <v>20.51</v>
      </c>
      <c r="X21" s="185">
        <f>INDEX(Drivers!$C$7:$AG$22,$G21,X$9)</f>
        <v>21.11</v>
      </c>
      <c r="Y21" s="185">
        <f>INDEX(Drivers!$C$7:$AG$22,$G21,Y$9)</f>
        <v>21.69</v>
      </c>
      <c r="Z21" s="185">
        <f>INDEX(Drivers!$C$7:$AG$22,$G21,Z$9)</f>
        <v>22.28</v>
      </c>
      <c r="AA21" s="185">
        <f>INDEX(Drivers!$C$7:$AG$22,$G21,AA$9)</f>
        <v>22.83</v>
      </c>
      <c r="AB21" s="185">
        <f>INDEX(Drivers!$C$7:$AG$22,$G21,AB$9)</f>
        <v>23.42</v>
      </c>
      <c r="AC21" s="185">
        <f>INDEX(Drivers!$C$7:$AG$22,$G21,AC$9)</f>
        <v>24.02</v>
      </c>
      <c r="AD21" s="185">
        <f>INDEX(Drivers!$C$7:$AG$22,$G21,AD$9)</f>
        <v>24.61</v>
      </c>
      <c r="AE21" s="185">
        <f>INDEX(Drivers!$C$7:$AG$22,$G21,AE$9)</f>
        <v>25.26</v>
      </c>
      <c r="AF21" s="185">
        <f>INDEX(Drivers!$C$7:$AG$22,$G21,AF$9)</f>
        <v>25.94</v>
      </c>
      <c r="AG21" s="185">
        <f>INDEX(Drivers!$C$7:$AG$22,$G21,AG$9)</f>
        <v>26.65</v>
      </c>
      <c r="AH21" s="185">
        <f>INDEX(Drivers!$C$7:$AG$22,$G21,AH$9)</f>
        <v>27.42</v>
      </c>
      <c r="AI21" s="185">
        <f>INDEX(Drivers!$C$7:$AG$22,$G21,AI$9)</f>
        <v>28.22</v>
      </c>
      <c r="AJ21" s="185">
        <f>INDEX(Drivers!$C$7:$AG$22,$G21,AJ$9)</f>
        <v>29.03</v>
      </c>
      <c r="AK21" s="185">
        <f>INDEX(Drivers!$C$7:$AG$22,$G21,AK$9)</f>
        <v>29.88</v>
      </c>
      <c r="AL21" s="185">
        <f>INDEX(Drivers!$C$7:$AG$22,$G21,AL$9)</f>
        <v>30.78</v>
      </c>
      <c r="AM21" s="185">
        <f>INDEX(Drivers!$C$7:$AG$22,$G21,AM$9)</f>
        <v>35.619999999999997</v>
      </c>
      <c r="AN21" s="185">
        <f>INDEX(Drivers!$C$7:$AG$22,$G21,AN$9)</f>
        <v>41.7</v>
      </c>
      <c r="AO21" s="185">
        <f t="shared" si="4"/>
        <v>52.413333333332957</v>
      </c>
      <c r="AP21" s="185">
        <f t="shared" si="4"/>
        <v>63.33333333333303</v>
      </c>
    </row>
    <row r="22" spans="1:42">
      <c r="A22" s="185" t="s">
        <v>16</v>
      </c>
      <c r="B22" s="186" t="str">
        <f>[4]IND!B19</f>
        <v>OT</v>
      </c>
      <c r="C22" s="186" t="str">
        <f>[4]IND!A19</f>
        <v>Other</v>
      </c>
      <c r="D22" s="185">
        <f>[4]IND!M19</f>
        <v>1</v>
      </c>
      <c r="F22" s="186"/>
      <c r="G22" s="185">
        <f>MATCH(B22,Drivers!$A$7:$A$22,0)</f>
        <v>10</v>
      </c>
      <c r="H22" s="186"/>
      <c r="I22" s="186"/>
      <c r="J22" s="185">
        <f>INDEX(Drivers!$C$7:$AG$22,$G22,J$9)</f>
        <v>235.5</v>
      </c>
      <c r="K22" s="185">
        <f>INDEX(Drivers!$C$7:$AG$22,$G22,K$9)</f>
        <v>241.63</v>
      </c>
      <c r="L22" s="185">
        <f>INDEX(Drivers!$C$7:$AG$22,$G22,L$9)</f>
        <v>245.65</v>
      </c>
      <c r="M22" s="185">
        <f>INDEX(Drivers!$C$7:$AG$22,$G22,M$9)</f>
        <v>248.47</v>
      </c>
      <c r="N22" s="185">
        <f>INDEX(Drivers!$C$7:$AG$22,$G22,N$9)</f>
        <v>251.07</v>
      </c>
      <c r="O22" s="185">
        <f>INDEX(Drivers!$C$7:$AG$22,$G22,O$9)</f>
        <v>252.54</v>
      </c>
      <c r="P22" s="185">
        <f>INDEX(Drivers!$C$7:$AG$22,$G22,P$9)</f>
        <v>254.74</v>
      </c>
      <c r="Q22" s="185">
        <f>INDEX(Drivers!$C$7:$AG$22,$G22,Q$9)</f>
        <v>254.67</v>
      </c>
      <c r="R22" s="185">
        <f>INDEX(Drivers!$C$7:$AG$22,$G22,R$9)</f>
        <v>230.24</v>
      </c>
      <c r="S22" s="185">
        <f>INDEX(Drivers!$C$7:$AG$22,$G22,S$9)</f>
        <v>236.69</v>
      </c>
      <c r="T22" s="185">
        <f>INDEX(Drivers!$C$7:$AG$22,$G22,T$9)</f>
        <v>242.59</v>
      </c>
      <c r="U22" s="185">
        <f>INDEX(Drivers!$C$7:$AG$22,$G22,U$9)</f>
        <v>248.33</v>
      </c>
      <c r="V22" s="185">
        <f>INDEX(Drivers!$C$7:$AG$22,$G22,V$9)</f>
        <v>253.83</v>
      </c>
      <c r="W22" s="185">
        <f>INDEX(Drivers!$C$7:$AG$22,$G22,W$9)</f>
        <v>259.61</v>
      </c>
      <c r="X22" s="185">
        <f>INDEX(Drivers!$C$7:$AG$22,$G22,X$9)</f>
        <v>266.92</v>
      </c>
      <c r="Y22" s="185">
        <f>INDEX(Drivers!$C$7:$AG$22,$G22,Y$9)</f>
        <v>274.13</v>
      </c>
      <c r="Z22" s="185">
        <f>INDEX(Drivers!$C$7:$AG$22,$G22,Z$9)</f>
        <v>281.63</v>
      </c>
      <c r="AA22" s="185">
        <f>INDEX(Drivers!$C$7:$AG$22,$G22,AA$9)</f>
        <v>289.23</v>
      </c>
      <c r="AB22" s="185">
        <f>INDEX(Drivers!$C$7:$AG$22,$G22,AB$9)</f>
        <v>297.02</v>
      </c>
      <c r="AC22" s="185">
        <f>INDEX(Drivers!$C$7:$AG$22,$G22,AC$9)</f>
        <v>305.64</v>
      </c>
      <c r="AD22" s="185">
        <f>INDEX(Drivers!$C$7:$AG$22,$G22,AD$9)</f>
        <v>313.91000000000003</v>
      </c>
      <c r="AE22" s="185">
        <f>INDEX(Drivers!$C$7:$AG$22,$G22,AE$9)</f>
        <v>323.06</v>
      </c>
      <c r="AF22" s="185">
        <f>INDEX(Drivers!$C$7:$AG$22,$G22,AF$9)</f>
        <v>332.87</v>
      </c>
      <c r="AG22" s="185">
        <f>INDEX(Drivers!$C$7:$AG$22,$G22,AG$9)</f>
        <v>343.27</v>
      </c>
      <c r="AH22" s="185">
        <f>INDEX(Drivers!$C$7:$AG$22,$G22,AH$9)</f>
        <v>354.09</v>
      </c>
      <c r="AI22" s="185">
        <f>INDEX(Drivers!$C$7:$AG$22,$G22,AI$9)</f>
        <v>365.3</v>
      </c>
      <c r="AJ22" s="185">
        <f>INDEX(Drivers!$C$7:$AG$22,$G22,AJ$9)</f>
        <v>376.62</v>
      </c>
      <c r="AK22" s="185">
        <f>INDEX(Drivers!$C$7:$AG$22,$G22,AK$9)</f>
        <v>388.36</v>
      </c>
      <c r="AL22" s="185">
        <f>INDEX(Drivers!$C$7:$AG$22,$G22,AL$9)</f>
        <v>400.79</v>
      </c>
      <c r="AM22" s="185">
        <f>INDEX(Drivers!$C$7:$AG$22,$G22,AM$9)</f>
        <v>469.74</v>
      </c>
      <c r="AN22" s="185">
        <f>INDEX(Drivers!$C$7:$AG$22,$G22,AN$9)</f>
        <v>556.72</v>
      </c>
      <c r="AO22" s="185">
        <f t="shared" si="4"/>
        <v>709.64500000000044</v>
      </c>
      <c r="AP22" s="185">
        <f t="shared" si="4"/>
        <v>865.57499999999709</v>
      </c>
    </row>
    <row r="23" spans="1:42">
      <c r="A23" s="185" t="s">
        <v>16</v>
      </c>
      <c r="B23" s="186"/>
    </row>
    <row r="24" spans="1:42" ht="15.75" thickBot="1">
      <c r="A24" s="185" t="s">
        <v>16</v>
      </c>
      <c r="B24" s="14" t="s">
        <v>291</v>
      </c>
      <c r="C24" s="14"/>
      <c r="D24" s="14"/>
      <c r="E24" s="14"/>
      <c r="F24" s="14"/>
    </row>
    <row r="25" spans="1:42">
      <c r="A25" s="185" t="s">
        <v>16</v>
      </c>
      <c r="B25" s="185" t="s">
        <v>9</v>
      </c>
      <c r="C25" s="185" t="s">
        <v>10</v>
      </c>
      <c r="D25" s="185" t="s">
        <v>281</v>
      </c>
      <c r="E25" s="185" t="s">
        <v>280</v>
      </c>
    </row>
    <row r="26" spans="1:42">
      <c r="A26" s="57" t="str">
        <f>IF(D10,"*","")</f>
        <v>*</v>
      </c>
      <c r="B26" s="22" t="s">
        <v>288</v>
      </c>
      <c r="C26" s="23" t="s">
        <v>137</v>
      </c>
      <c r="D26" s="57">
        <f t="shared" ref="D26:D38" si="6">F10</f>
        <v>0</v>
      </c>
      <c r="E26" s="23" t="s">
        <v>137</v>
      </c>
      <c r="F26" s="23" t="s">
        <v>137</v>
      </c>
      <c r="G26" s="23" t="s">
        <v>137</v>
      </c>
      <c r="H26" s="23" t="s">
        <v>137</v>
      </c>
      <c r="I26" s="22">
        <v>0</v>
      </c>
      <c r="J26" s="110">
        <v>0</v>
      </c>
      <c r="K26" s="185">
        <f t="shared" ref="K26:AP34" si="7">J26*K10/J10</f>
        <v>0</v>
      </c>
      <c r="L26" s="185">
        <f t="shared" si="7"/>
        <v>0</v>
      </c>
      <c r="M26" s="185">
        <f t="shared" si="7"/>
        <v>0</v>
      </c>
      <c r="N26" s="185">
        <f t="shared" si="7"/>
        <v>0</v>
      </c>
      <c r="O26" s="185">
        <f t="shared" si="7"/>
        <v>0</v>
      </c>
      <c r="P26" s="185">
        <f t="shared" si="7"/>
        <v>0</v>
      </c>
      <c r="Q26" s="185">
        <f t="shared" si="7"/>
        <v>0</v>
      </c>
      <c r="R26" s="185">
        <f t="shared" si="7"/>
        <v>0</v>
      </c>
      <c r="S26" s="185">
        <f t="shared" si="7"/>
        <v>0</v>
      </c>
      <c r="T26" s="185">
        <f t="shared" si="7"/>
        <v>0</v>
      </c>
      <c r="U26" s="185">
        <f t="shared" si="7"/>
        <v>0</v>
      </c>
      <c r="V26" s="185">
        <f t="shared" si="7"/>
        <v>0</v>
      </c>
      <c r="W26" s="185">
        <f t="shared" si="7"/>
        <v>0</v>
      </c>
      <c r="X26" s="185">
        <f t="shared" si="7"/>
        <v>0</v>
      </c>
      <c r="Y26" s="185">
        <f t="shared" si="7"/>
        <v>0</v>
      </c>
      <c r="Z26" s="185">
        <f t="shared" si="7"/>
        <v>0</v>
      </c>
      <c r="AA26" s="185">
        <f t="shared" si="7"/>
        <v>0</v>
      </c>
      <c r="AB26" s="185">
        <f t="shared" si="7"/>
        <v>0</v>
      </c>
      <c r="AC26" s="185">
        <f t="shared" si="7"/>
        <v>0</v>
      </c>
      <c r="AD26" s="185">
        <f t="shared" si="7"/>
        <v>0</v>
      </c>
      <c r="AE26" s="185">
        <f t="shared" si="7"/>
        <v>0</v>
      </c>
      <c r="AF26" s="185">
        <f t="shared" si="7"/>
        <v>0</v>
      </c>
      <c r="AG26" s="185">
        <f t="shared" si="7"/>
        <v>0</v>
      </c>
      <c r="AH26" s="185">
        <f t="shared" si="7"/>
        <v>0</v>
      </c>
      <c r="AI26" s="185">
        <f t="shared" si="7"/>
        <v>0</v>
      </c>
      <c r="AJ26" s="185">
        <f t="shared" si="7"/>
        <v>0</v>
      </c>
      <c r="AK26" s="185">
        <f t="shared" si="7"/>
        <v>0</v>
      </c>
      <c r="AL26" s="185">
        <f t="shared" si="7"/>
        <v>0</v>
      </c>
      <c r="AM26" s="185">
        <f t="shared" si="7"/>
        <v>0</v>
      </c>
      <c r="AN26" s="185">
        <f t="shared" si="7"/>
        <v>0</v>
      </c>
      <c r="AO26" s="185">
        <f t="shared" si="7"/>
        <v>0</v>
      </c>
      <c r="AP26" s="185">
        <f t="shared" si="7"/>
        <v>0</v>
      </c>
    </row>
    <row r="27" spans="1:42">
      <c r="A27" s="57" t="str">
        <f>IF(D11,"*","")</f>
        <v/>
      </c>
      <c r="B27" s="22" t="s">
        <v>288</v>
      </c>
      <c r="C27" s="23" t="s">
        <v>137</v>
      </c>
      <c r="D27" s="57" t="str">
        <f t="shared" si="6"/>
        <v>IFAM</v>
      </c>
      <c r="E27" s="23" t="s">
        <v>137</v>
      </c>
      <c r="F27" s="23" t="s">
        <v>137</v>
      </c>
      <c r="G27" s="23" t="s">
        <v>137</v>
      </c>
      <c r="H27" s="23" t="s">
        <v>137</v>
      </c>
      <c r="I27" s="22">
        <v>0</v>
      </c>
      <c r="J27" s="140">
        <f>'[4]FA-TSData'!J2</f>
        <v>4.0820999999999996</v>
      </c>
      <c r="K27" s="140">
        <f>'[4]FA-TSData'!K2</f>
        <v>4.1753999999999998</v>
      </c>
      <c r="L27" s="140">
        <f>'[4]FA-TSData'!L2</f>
        <v>4.8628999999999998</v>
      </c>
      <c r="M27" s="140">
        <f>'[4]FA-TSData'!M2</f>
        <v>4.4805999999999999</v>
      </c>
      <c r="N27" s="140">
        <f>'[4]FA-TSData'!N2</f>
        <v>4.3260612235437241</v>
      </c>
      <c r="O27" s="140">
        <f>'[4]FA-TSData'!O2</f>
        <v>4.372754104082464</v>
      </c>
      <c r="P27" s="185">
        <f>O27*P11/O11</f>
        <v>4.3281858435822027</v>
      </c>
      <c r="Q27" s="185">
        <f t="shared" si="7"/>
        <v>4.255661128768141</v>
      </c>
      <c r="R27" s="185">
        <f t="shared" si="7"/>
        <v>3.911270024902485</v>
      </c>
      <c r="S27" s="185">
        <f t="shared" si="7"/>
        <v>3.9783249986551508</v>
      </c>
      <c r="T27" s="185">
        <f t="shared" si="7"/>
        <v>4.0324146602622868</v>
      </c>
      <c r="U27" s="185">
        <f t="shared" si="7"/>
        <v>4.0828578278284908</v>
      </c>
      <c r="V27" s="185">
        <f t="shared" si="7"/>
        <v>4.130869999367409</v>
      </c>
      <c r="W27" s="185">
        <f t="shared" si="7"/>
        <v>4.1963043091018832</v>
      </c>
      <c r="X27" s="185">
        <f t="shared" si="7"/>
        <v>4.2986087252502108</v>
      </c>
      <c r="Y27" s="185">
        <f t="shared" si="7"/>
        <v>4.4092190444917687</v>
      </c>
      <c r="Z27" s="185">
        <f t="shared" si="7"/>
        <v>4.5281352668265571</v>
      </c>
      <c r="AA27" s="185">
        <f t="shared" si="7"/>
        <v>4.6328706790021705</v>
      </c>
      <c r="AB27" s="185">
        <f t="shared" si="7"/>
        <v>4.7538127313596972</v>
      </c>
      <c r="AC27" s="185">
        <f t="shared" si="7"/>
        <v>4.8680695446421858</v>
      </c>
      <c r="AD27" s="185">
        <f t="shared" si="7"/>
        <v>4.9740204548314431</v>
      </c>
      <c r="AE27" s="185">
        <f t="shared" si="7"/>
        <v>5.086859187098014</v>
      </c>
      <c r="AF27" s="185">
        <f t="shared" si="7"/>
        <v>5.2045599114191594</v>
      </c>
      <c r="AG27" s="185">
        <f t="shared" si="7"/>
        <v>5.3244890487653169</v>
      </c>
      <c r="AH27" s="185">
        <f t="shared" si="7"/>
        <v>5.4569783322524579</v>
      </c>
      <c r="AI27" s="185">
        <f t="shared" si="7"/>
        <v>5.594734773798721</v>
      </c>
      <c r="AJ27" s="185">
        <f t="shared" si="7"/>
        <v>5.732693798347257</v>
      </c>
      <c r="AK27" s="185">
        <f t="shared" si="7"/>
        <v>5.8759199809549152</v>
      </c>
      <c r="AL27" s="185">
        <f t="shared" si="7"/>
        <v>6.0292753136762691</v>
      </c>
      <c r="AM27" s="185">
        <f t="shared" si="7"/>
        <v>6.7725523490192643</v>
      </c>
      <c r="AN27" s="185">
        <f t="shared" si="7"/>
        <v>7.698154086408783</v>
      </c>
      <c r="AO27" s="185">
        <f t="shared" si="7"/>
        <v>9.3366454088002317</v>
      </c>
      <c r="AP27" s="185">
        <f t="shared" si="7"/>
        <v>11.005524181532767</v>
      </c>
    </row>
    <row r="28" spans="1:42">
      <c r="A28" s="57" t="str">
        <f>IF(D12,"*","")</f>
        <v/>
      </c>
      <c r="B28" s="22" t="s">
        <v>288</v>
      </c>
      <c r="C28" s="23" t="s">
        <v>137</v>
      </c>
      <c r="D28" s="57" t="str">
        <f t="shared" si="6"/>
        <v>IISCRS</v>
      </c>
      <c r="E28" s="23" t="s">
        <v>137</v>
      </c>
      <c r="F28" s="23" t="s">
        <v>137</v>
      </c>
      <c r="G28" s="23" t="s">
        <v>137</v>
      </c>
      <c r="H28" s="23" t="s">
        <v>137</v>
      </c>
      <c r="I28" s="22">
        <v>0</v>
      </c>
      <c r="J28" s="110">
        <f>'[4]IS-TSData'!J24</f>
        <v>6.94</v>
      </c>
      <c r="K28" s="110">
        <f>'[4]IS-TSData'!K24</f>
        <v>7.1000000000000005</v>
      </c>
      <c r="L28" s="110">
        <f>'[4]IS-TSData'!L24</f>
        <v>6.5</v>
      </c>
      <c r="M28" s="110">
        <f>'[4]IS-TSData'!M24</f>
        <v>6.4000000000000012</v>
      </c>
      <c r="N28" s="110">
        <f>'[4]IS-TSData'!N24</f>
        <v>6.0910000000000002</v>
      </c>
      <c r="O28" s="110">
        <f>'[4]IS-TSData'!O24</f>
        <v>6.23</v>
      </c>
      <c r="P28" s="110">
        <f>'[4]IS-TSData'!P24</f>
        <v>6.3</v>
      </c>
      <c r="Q28" s="110">
        <f>'[4]IS-TSData'!Q24</f>
        <v>6.1267974837582679</v>
      </c>
      <c r="R28" s="110">
        <f>'[4]IS-TSData'!R24</f>
        <v>5.0030232389251985</v>
      </c>
      <c r="S28" s="185">
        <f t="shared" si="7"/>
        <v>5.1621732440786108</v>
      </c>
      <c r="T28" s="185">
        <f t="shared" si="7"/>
        <v>5.2641924781513101</v>
      </c>
      <c r="U28" s="185">
        <f t="shared" si="7"/>
        <v>5.358050173498194</v>
      </c>
      <c r="V28" s="185">
        <f t="shared" si="7"/>
        <v>5.4437463301192617</v>
      </c>
      <c r="W28" s="185">
        <f t="shared" si="7"/>
        <v>5.5620886416435935</v>
      </c>
      <c r="X28" s="185">
        <f t="shared" si="7"/>
        <v>5.7620463404260844</v>
      </c>
      <c r="Y28" s="185">
        <f t="shared" si="7"/>
        <v>5.9579232698456677</v>
      </c>
      <c r="Z28" s="185">
        <f t="shared" si="7"/>
        <v>6.1538001992652518</v>
      </c>
      <c r="AA28" s="185">
        <f t="shared" si="7"/>
        <v>6.2966271269670315</v>
      </c>
      <c r="AB28" s="185">
        <f t="shared" si="7"/>
        <v>6.4802617482978908</v>
      </c>
      <c r="AC28" s="185">
        <f t="shared" si="7"/>
        <v>6.6271694453625782</v>
      </c>
      <c r="AD28" s="185">
        <f t="shared" si="7"/>
        <v>6.757754064975634</v>
      </c>
      <c r="AE28" s="185">
        <f t="shared" si="7"/>
        <v>6.90874253140323</v>
      </c>
      <c r="AF28" s="185">
        <f t="shared" si="7"/>
        <v>7.0760540752824577</v>
      </c>
      <c r="AG28" s="185">
        <f t="shared" si="7"/>
        <v>7.2352040804358699</v>
      </c>
      <c r="AH28" s="185">
        <f t="shared" si="7"/>
        <v>7.4229194711296387</v>
      </c>
      <c r="AI28" s="185">
        <f t="shared" si="7"/>
        <v>7.6187964005492228</v>
      </c>
      <c r="AJ28" s="185">
        <f t="shared" si="7"/>
        <v>7.8105925606058983</v>
      </c>
      <c r="AK28" s="185">
        <f t="shared" si="7"/>
        <v>8.0105502593883902</v>
      </c>
      <c r="AL28" s="185">
        <f t="shared" si="7"/>
        <v>8.2186694968966982</v>
      </c>
      <c r="AM28" s="185">
        <f t="shared" si="7"/>
        <v>9.2184579908091564</v>
      </c>
      <c r="AN28" s="185">
        <f t="shared" si="7"/>
        <v>10.565111880568795</v>
      </c>
      <c r="AO28" s="185">
        <f t="shared" si="7"/>
        <v>12.853743364933074</v>
      </c>
      <c r="AP28" s="185">
        <f t="shared" si="7"/>
        <v>15.20018574860517</v>
      </c>
    </row>
    <row r="29" spans="1:42">
      <c r="A29" s="57" t="str">
        <f t="shared" ref="A29:A38" si="8">IF(D13,"*","")</f>
        <v>*</v>
      </c>
      <c r="B29" s="22" t="s">
        <v>288</v>
      </c>
      <c r="C29" s="23" t="s">
        <v>137</v>
      </c>
      <c r="D29" s="57">
        <f t="shared" si="6"/>
        <v>0</v>
      </c>
      <c r="E29" s="23" t="s">
        <v>137</v>
      </c>
      <c r="F29" s="23" t="s">
        <v>137</v>
      </c>
      <c r="G29" s="23" t="s">
        <v>137</v>
      </c>
      <c r="H29" s="23" t="s">
        <v>137</v>
      </c>
      <c r="I29" s="22">
        <v>0</v>
      </c>
      <c r="J29" s="110">
        <v>0</v>
      </c>
      <c r="K29" s="185">
        <f t="shared" si="7"/>
        <v>0</v>
      </c>
      <c r="L29" s="185">
        <f t="shared" si="7"/>
        <v>0</v>
      </c>
      <c r="M29" s="185">
        <f t="shared" si="7"/>
        <v>0</v>
      </c>
      <c r="N29" s="185">
        <f t="shared" si="7"/>
        <v>0</v>
      </c>
      <c r="O29" s="185">
        <f t="shared" si="7"/>
        <v>0</v>
      </c>
      <c r="P29" s="185">
        <f t="shared" si="7"/>
        <v>0</v>
      </c>
      <c r="Q29" s="185">
        <f t="shared" si="7"/>
        <v>0</v>
      </c>
      <c r="R29" s="185">
        <f t="shared" si="7"/>
        <v>0</v>
      </c>
      <c r="S29" s="185">
        <f t="shared" si="7"/>
        <v>0</v>
      </c>
      <c r="T29" s="185">
        <f t="shared" si="7"/>
        <v>0</v>
      </c>
      <c r="U29" s="185">
        <f t="shared" si="7"/>
        <v>0</v>
      </c>
      <c r="V29" s="185">
        <f t="shared" si="7"/>
        <v>0</v>
      </c>
      <c r="W29" s="185">
        <f t="shared" si="7"/>
        <v>0</v>
      </c>
      <c r="X29" s="185">
        <f t="shared" si="7"/>
        <v>0</v>
      </c>
      <c r="Y29" s="185">
        <f t="shared" si="7"/>
        <v>0</v>
      </c>
      <c r="Z29" s="185">
        <f t="shared" si="7"/>
        <v>0</v>
      </c>
      <c r="AA29" s="185">
        <f t="shared" si="7"/>
        <v>0</v>
      </c>
      <c r="AB29" s="185">
        <f t="shared" si="7"/>
        <v>0</v>
      </c>
      <c r="AC29" s="185">
        <f t="shared" si="7"/>
        <v>0</v>
      </c>
      <c r="AD29" s="185">
        <f t="shared" si="7"/>
        <v>0</v>
      </c>
      <c r="AE29" s="185">
        <f t="shared" si="7"/>
        <v>0</v>
      </c>
      <c r="AF29" s="185">
        <f t="shared" si="7"/>
        <v>0</v>
      </c>
      <c r="AG29" s="185">
        <f t="shared" si="7"/>
        <v>0</v>
      </c>
      <c r="AH29" s="185">
        <f t="shared" si="7"/>
        <v>0</v>
      </c>
      <c r="AI29" s="185">
        <f t="shared" si="7"/>
        <v>0</v>
      </c>
      <c r="AJ29" s="185">
        <f t="shared" si="7"/>
        <v>0</v>
      </c>
      <c r="AK29" s="185">
        <f t="shared" si="7"/>
        <v>0</v>
      </c>
      <c r="AL29" s="185">
        <f t="shared" si="7"/>
        <v>0</v>
      </c>
      <c r="AM29" s="185">
        <f t="shared" si="7"/>
        <v>0</v>
      </c>
      <c r="AN29" s="185">
        <f t="shared" si="7"/>
        <v>0</v>
      </c>
      <c r="AO29" s="185">
        <f t="shared" si="7"/>
        <v>0</v>
      </c>
      <c r="AP29" s="185">
        <f t="shared" si="7"/>
        <v>0</v>
      </c>
    </row>
    <row r="30" spans="1:42">
      <c r="A30" s="57" t="str">
        <f t="shared" si="8"/>
        <v>*</v>
      </c>
      <c r="B30" s="22" t="s">
        <v>288</v>
      </c>
      <c r="C30" s="23" t="s">
        <v>137</v>
      </c>
      <c r="D30" s="57">
        <f t="shared" si="6"/>
        <v>0</v>
      </c>
      <c r="E30" s="23" t="s">
        <v>137</v>
      </c>
      <c r="F30" s="23" t="s">
        <v>137</v>
      </c>
      <c r="G30" s="23" t="s">
        <v>137</v>
      </c>
      <c r="H30" s="23" t="s">
        <v>137</v>
      </c>
      <c r="I30" s="22">
        <v>0</v>
      </c>
      <c r="J30" s="110">
        <v>0</v>
      </c>
      <c r="K30" s="185">
        <f t="shared" si="7"/>
        <v>0</v>
      </c>
      <c r="L30" s="185">
        <f t="shared" si="7"/>
        <v>0</v>
      </c>
      <c r="M30" s="185">
        <f t="shared" si="7"/>
        <v>0</v>
      </c>
      <c r="N30" s="185">
        <f t="shared" si="7"/>
        <v>0</v>
      </c>
      <c r="O30" s="185">
        <f t="shared" si="7"/>
        <v>0</v>
      </c>
      <c r="P30" s="185">
        <f t="shared" si="7"/>
        <v>0</v>
      </c>
      <c r="Q30" s="185">
        <f t="shared" si="7"/>
        <v>0</v>
      </c>
      <c r="R30" s="185">
        <f t="shared" si="7"/>
        <v>0</v>
      </c>
      <c r="S30" s="185">
        <f t="shared" si="7"/>
        <v>0</v>
      </c>
      <c r="T30" s="185">
        <f t="shared" si="7"/>
        <v>0</v>
      </c>
      <c r="U30" s="185">
        <f t="shared" si="7"/>
        <v>0</v>
      </c>
      <c r="V30" s="185">
        <f t="shared" si="7"/>
        <v>0</v>
      </c>
      <c r="W30" s="185">
        <f t="shared" si="7"/>
        <v>0</v>
      </c>
      <c r="X30" s="185">
        <f t="shared" si="7"/>
        <v>0</v>
      </c>
      <c r="Y30" s="185">
        <f t="shared" si="7"/>
        <v>0</v>
      </c>
      <c r="Z30" s="185">
        <f t="shared" si="7"/>
        <v>0</v>
      </c>
      <c r="AA30" s="185">
        <f t="shared" si="7"/>
        <v>0</v>
      </c>
      <c r="AB30" s="185">
        <f t="shared" si="7"/>
        <v>0</v>
      </c>
      <c r="AC30" s="185">
        <f t="shared" si="7"/>
        <v>0</v>
      </c>
      <c r="AD30" s="185">
        <f t="shared" si="7"/>
        <v>0</v>
      </c>
      <c r="AE30" s="185">
        <f t="shared" si="7"/>
        <v>0</v>
      </c>
      <c r="AF30" s="185">
        <f t="shared" si="7"/>
        <v>0</v>
      </c>
      <c r="AG30" s="185">
        <f t="shared" si="7"/>
        <v>0</v>
      </c>
      <c r="AH30" s="185">
        <f t="shared" si="7"/>
        <v>0</v>
      </c>
      <c r="AI30" s="185">
        <f t="shared" si="7"/>
        <v>0</v>
      </c>
      <c r="AJ30" s="185">
        <f t="shared" si="7"/>
        <v>0</v>
      </c>
      <c r="AK30" s="185">
        <f t="shared" si="7"/>
        <v>0</v>
      </c>
      <c r="AL30" s="185">
        <f t="shared" si="7"/>
        <v>0</v>
      </c>
      <c r="AM30" s="185">
        <f t="shared" si="7"/>
        <v>0</v>
      </c>
      <c r="AN30" s="185">
        <f t="shared" si="7"/>
        <v>0</v>
      </c>
      <c r="AO30" s="185">
        <f t="shared" si="7"/>
        <v>0</v>
      </c>
      <c r="AP30" s="185">
        <f t="shared" si="7"/>
        <v>0</v>
      </c>
    </row>
    <row r="31" spans="1:42">
      <c r="A31" s="57" t="str">
        <f t="shared" si="8"/>
        <v/>
      </c>
      <c r="B31" s="22" t="s">
        <v>288</v>
      </c>
      <c r="C31" s="23" t="s">
        <v>137</v>
      </c>
      <c r="D31" s="57" t="str">
        <f t="shared" si="6"/>
        <v>INMCEM</v>
      </c>
      <c r="E31" s="23" t="s">
        <v>137</v>
      </c>
      <c r="F31" s="23" t="s">
        <v>137</v>
      </c>
      <c r="G31" s="23" t="s">
        <v>137</v>
      </c>
      <c r="H31" s="23" t="s">
        <v>137</v>
      </c>
      <c r="I31" s="22">
        <v>0</v>
      </c>
      <c r="J31" s="110">
        <f>'[4]NMM-TSData'!J14</f>
        <v>14.27</v>
      </c>
      <c r="K31" s="110">
        <f>'[4]NMM-TSData'!K14</f>
        <v>14.368</v>
      </c>
      <c r="L31" s="110">
        <f>'[4]NMM-TSData'!L14</f>
        <v>14.465999999999999</v>
      </c>
      <c r="M31" s="110">
        <f>'[4]NMM-TSData'!M14</f>
        <v>14.564</v>
      </c>
      <c r="N31" s="110">
        <f>'[4]NMM-TSData'!N14</f>
        <v>14.662000000000001</v>
      </c>
      <c r="O31" s="110">
        <f>'[4]NMM-TSData'!O14</f>
        <v>14.759960880300349</v>
      </c>
      <c r="P31" s="185">
        <f t="shared" si="7"/>
        <v>14.913810635404458</v>
      </c>
      <c r="Q31" s="185">
        <f t="shared" si="7"/>
        <v>14.942657464486476</v>
      </c>
      <c r="R31" s="185">
        <f t="shared" si="7"/>
        <v>13.663781375183582</v>
      </c>
      <c r="S31" s="185">
        <f t="shared" si="7"/>
        <v>14.038790153249844</v>
      </c>
      <c r="T31" s="185">
        <f t="shared" si="7"/>
        <v>14.375336492540081</v>
      </c>
      <c r="U31" s="185">
        <f t="shared" si="7"/>
        <v>14.711882831830319</v>
      </c>
      <c r="V31" s="185">
        <f t="shared" si="7"/>
        <v>15.038813561426549</v>
      </c>
      <c r="W31" s="185">
        <f t="shared" si="7"/>
        <v>15.384975510410792</v>
      </c>
      <c r="X31" s="185">
        <f t="shared" si="7"/>
        <v>15.80806233694709</v>
      </c>
      <c r="Y31" s="185">
        <f t="shared" si="7"/>
        <v>16.231149163483384</v>
      </c>
      <c r="Z31" s="185">
        <f t="shared" si="7"/>
        <v>16.673467209407693</v>
      </c>
      <c r="AA31" s="185">
        <f t="shared" si="7"/>
        <v>17.115785255332003</v>
      </c>
      <c r="AB31" s="185">
        <f t="shared" si="7"/>
        <v>17.567718910950319</v>
      </c>
      <c r="AC31" s="185">
        <f t="shared" si="7"/>
        <v>18.086961834426681</v>
      </c>
      <c r="AD31" s="185">
        <f t="shared" si="7"/>
        <v>18.577357928821026</v>
      </c>
      <c r="AE31" s="185">
        <f t="shared" si="7"/>
        <v>19.115832071685404</v>
      </c>
      <c r="AF31" s="185">
        <f t="shared" si="7"/>
        <v>19.702384263019812</v>
      </c>
      <c r="AG31" s="185">
        <f t="shared" si="7"/>
        <v>20.327398893130255</v>
      </c>
      <c r="AH31" s="185">
        <f t="shared" si="7"/>
        <v>20.971644742628705</v>
      </c>
      <c r="AI31" s="185">
        <f t="shared" si="7"/>
        <v>21.635121811515173</v>
      </c>
      <c r="AJ31" s="185">
        <f t="shared" si="7"/>
        <v>22.298598880401638</v>
      </c>
      <c r="AK31" s="185">
        <f t="shared" si="7"/>
        <v>23.000538388064129</v>
      </c>
      <c r="AL31" s="185">
        <f t="shared" si="7"/>
        <v>23.731324724808641</v>
      </c>
      <c r="AM31" s="185">
        <f t="shared" si="7"/>
        <v>27.875652502925547</v>
      </c>
      <c r="AN31" s="185">
        <f t="shared" si="7"/>
        <v>33.116159786159223</v>
      </c>
      <c r="AO31" s="185">
        <f t="shared" si="7"/>
        <v>42.318298263323669</v>
      </c>
      <c r="AP31" s="185">
        <f t="shared" si="7"/>
        <v>51.703133324674248</v>
      </c>
    </row>
    <row r="32" spans="1:42">
      <c r="A32" s="57" t="str">
        <f t="shared" si="8"/>
        <v/>
      </c>
      <c r="B32" s="22" t="s">
        <v>288</v>
      </c>
      <c r="C32" s="23" t="s">
        <v>137</v>
      </c>
      <c r="D32" s="57" t="str">
        <f t="shared" si="6"/>
        <v>INMLIM</v>
      </c>
      <c r="E32" s="23" t="s">
        <v>137</v>
      </c>
      <c r="F32" s="23" t="s">
        <v>137</v>
      </c>
      <c r="G32" s="23" t="s">
        <v>137</v>
      </c>
      <c r="H32" s="23" t="s">
        <v>137</v>
      </c>
      <c r="I32" s="22">
        <v>0</v>
      </c>
      <c r="J32" s="139">
        <f>'[4]NMM-TSData'!J16</f>
        <v>1.2</v>
      </c>
      <c r="K32" s="139">
        <f>'[4]NMM-TSData'!K16</f>
        <v>1.1733333333333333</v>
      </c>
      <c r="L32" s="139">
        <f>'[4]NMM-TSData'!L16</f>
        <v>1.1466666666666667</v>
      </c>
      <c r="M32" s="139">
        <f>'[4]NMM-TSData'!M16</f>
        <v>1.1200000000000001</v>
      </c>
      <c r="N32" s="139">
        <f>'[4]NMM-TSData'!N16</f>
        <v>1.1200000000000001</v>
      </c>
      <c r="O32" s="139">
        <f>'[4]NMM-TSData'!O16</f>
        <v>1.3591716472036741</v>
      </c>
      <c r="P32" s="185">
        <f t="shared" si="7"/>
        <v>1.373338908672898</v>
      </c>
      <c r="Q32" s="185">
        <f t="shared" si="7"/>
        <v>1.3759952701983773</v>
      </c>
      <c r="R32" s="185">
        <f t="shared" si="7"/>
        <v>1.2582299092354532</v>
      </c>
      <c r="S32" s="185">
        <f t="shared" si="7"/>
        <v>1.2927626090666866</v>
      </c>
      <c r="T32" s="185">
        <f t="shared" si="7"/>
        <v>1.3237534935306141</v>
      </c>
      <c r="U32" s="185">
        <f t="shared" si="7"/>
        <v>1.3547443779945416</v>
      </c>
      <c r="V32" s="185">
        <f t="shared" si="7"/>
        <v>1.3848498086166425</v>
      </c>
      <c r="W32" s="185">
        <f t="shared" si="7"/>
        <v>1.4167261469223964</v>
      </c>
      <c r="X32" s="185">
        <f t="shared" si="7"/>
        <v>1.4556861159627623</v>
      </c>
      <c r="Y32" s="185">
        <f t="shared" si="7"/>
        <v>1.494646085003128</v>
      </c>
      <c r="Z32" s="185">
        <f t="shared" si="7"/>
        <v>1.5353769617271469</v>
      </c>
      <c r="AA32" s="185">
        <f t="shared" si="7"/>
        <v>1.576107838451166</v>
      </c>
      <c r="AB32" s="185">
        <f t="shared" si="7"/>
        <v>1.6177241690170112</v>
      </c>
      <c r="AC32" s="185">
        <f t="shared" si="7"/>
        <v>1.6655386764756421</v>
      </c>
      <c r="AD32" s="185">
        <f t="shared" si="7"/>
        <v>1.7106968224087935</v>
      </c>
      <c r="AE32" s="185">
        <f t="shared" si="7"/>
        <v>1.7602822375510772</v>
      </c>
      <c r="AF32" s="185">
        <f t="shared" si="7"/>
        <v>1.8142949219024935</v>
      </c>
      <c r="AG32" s="185">
        <f t="shared" si="7"/>
        <v>1.871849421621216</v>
      </c>
      <c r="AH32" s="185">
        <f t="shared" si="7"/>
        <v>1.9311748290235913</v>
      </c>
      <c r="AI32" s="185">
        <f t="shared" si="7"/>
        <v>1.9922711441096197</v>
      </c>
      <c r="AJ32" s="185">
        <f t="shared" si="7"/>
        <v>2.0533674591956483</v>
      </c>
      <c r="AK32" s="185">
        <f t="shared" si="7"/>
        <v>2.1180055896489827</v>
      </c>
      <c r="AL32" s="185">
        <f t="shared" si="7"/>
        <v>2.1853000816277963</v>
      </c>
      <c r="AM32" s="185">
        <f t="shared" si="7"/>
        <v>2.5669306874550166</v>
      </c>
      <c r="AN32" s="185">
        <f t="shared" si="7"/>
        <v>3.0495030312504579</v>
      </c>
      <c r="AO32" s="185">
        <f t="shared" si="7"/>
        <v>3.896882357878416</v>
      </c>
      <c r="AP32" s="185">
        <f t="shared" si="7"/>
        <v>4.7610853075010766</v>
      </c>
    </row>
    <row r="33" spans="1:42">
      <c r="A33" s="57" t="str">
        <f t="shared" si="8"/>
        <v/>
      </c>
      <c r="B33" s="22" t="s">
        <v>288</v>
      </c>
      <c r="C33" s="23" t="s">
        <v>137</v>
      </c>
      <c r="D33" s="57" t="str">
        <f t="shared" si="6"/>
        <v>INMGLA</v>
      </c>
      <c r="E33" s="23" t="s">
        <v>137</v>
      </c>
      <c r="F33" s="23" t="s">
        <v>137</v>
      </c>
      <c r="G33" s="23" t="s">
        <v>137</v>
      </c>
      <c r="H33" s="23" t="s">
        <v>137</v>
      </c>
      <c r="I33" s="22">
        <v>0</v>
      </c>
      <c r="J33" s="110">
        <f>'[4]NMM-TSData'!J15</f>
        <v>1.27</v>
      </c>
      <c r="K33" s="110">
        <f>'[4]NMM-TSData'!K15</f>
        <v>1.2484871200000001</v>
      </c>
      <c r="L33" s="110">
        <f>'[4]NMM-TSData'!L15</f>
        <v>1.2269742400000001</v>
      </c>
      <c r="M33" s="110">
        <f>'[4]NMM-TSData'!M15</f>
        <v>1.2054613600000001</v>
      </c>
      <c r="N33" s="110">
        <f>'[4]NMM-TSData'!N15</f>
        <v>1.1839484800000002</v>
      </c>
      <c r="O33" s="110">
        <f>'[4]NMM-TSData'!O15</f>
        <v>1.1624356</v>
      </c>
      <c r="P33" s="185">
        <f t="shared" si="7"/>
        <v>1.17455219257329</v>
      </c>
      <c r="Q33" s="185">
        <f t="shared" si="7"/>
        <v>1.1768240536807819</v>
      </c>
      <c r="R33" s="185">
        <f t="shared" si="7"/>
        <v>1.0761048779153095</v>
      </c>
      <c r="S33" s="185">
        <f t="shared" si="7"/>
        <v>1.1056390723127036</v>
      </c>
      <c r="T33" s="185">
        <f t="shared" si="7"/>
        <v>1.1321441185667753</v>
      </c>
      <c r="U33" s="185">
        <f t="shared" si="7"/>
        <v>1.1586491648208472</v>
      </c>
      <c r="V33" s="185">
        <f t="shared" si="7"/>
        <v>1.1843969240390881</v>
      </c>
      <c r="W33" s="185">
        <f t="shared" si="7"/>
        <v>1.2116592573289904</v>
      </c>
      <c r="X33" s="185">
        <f t="shared" si="7"/>
        <v>1.2449798869055377</v>
      </c>
      <c r="Y33" s="185">
        <f t="shared" si="7"/>
        <v>1.2783005164820846</v>
      </c>
      <c r="Z33" s="185">
        <f t="shared" si="7"/>
        <v>1.3131357201302931</v>
      </c>
      <c r="AA33" s="185">
        <f t="shared" si="7"/>
        <v>1.3479709237785016</v>
      </c>
      <c r="AB33" s="185">
        <f t="shared" si="7"/>
        <v>1.3835634144625406</v>
      </c>
      <c r="AC33" s="185">
        <f t="shared" si="7"/>
        <v>1.424456914397394</v>
      </c>
      <c r="AD33" s="185">
        <f t="shared" si="7"/>
        <v>1.4630785532247557</v>
      </c>
      <c r="AE33" s="185">
        <f t="shared" si="7"/>
        <v>1.5054866272312701</v>
      </c>
      <c r="AF33" s="185">
        <f t="shared" si="7"/>
        <v>1.5516811364169378</v>
      </c>
      <c r="AG33" s="185">
        <f t="shared" si="7"/>
        <v>1.6009047937459284</v>
      </c>
      <c r="AH33" s="185">
        <f t="shared" si="7"/>
        <v>1.6516430251465799</v>
      </c>
      <c r="AI33" s="185">
        <f t="shared" si="7"/>
        <v>1.7038958306188927</v>
      </c>
      <c r="AJ33" s="185">
        <f t="shared" si="7"/>
        <v>1.7561486360912055</v>
      </c>
      <c r="AK33" s="185">
        <f t="shared" si="7"/>
        <v>1.8114305897068408</v>
      </c>
      <c r="AL33" s="185">
        <f t="shared" si="7"/>
        <v>1.8689844044299675</v>
      </c>
      <c r="AM33" s="185">
        <f t="shared" si="7"/>
        <v>2.1953751168729645</v>
      </c>
      <c r="AN33" s="185">
        <f t="shared" si="7"/>
        <v>2.6080965514006516</v>
      </c>
      <c r="AO33" s="185">
        <f t="shared" si="7"/>
        <v>3.3328202446905535</v>
      </c>
      <c r="AP33" s="185">
        <f t="shared" si="7"/>
        <v>4.0719323916612371</v>
      </c>
    </row>
    <row r="34" spans="1:42">
      <c r="A34" s="57" t="str">
        <f t="shared" si="8"/>
        <v/>
      </c>
      <c r="B34" s="22" t="s">
        <v>288</v>
      </c>
      <c r="C34" s="23" t="s">
        <v>137</v>
      </c>
      <c r="D34" s="57" t="str">
        <f t="shared" si="6"/>
        <v>INMBRI</v>
      </c>
      <c r="E34" s="23" t="s">
        <v>137</v>
      </c>
      <c r="F34" s="23" t="s">
        <v>137</v>
      </c>
      <c r="G34" s="23" t="s">
        <v>137</v>
      </c>
      <c r="H34" s="23" t="s">
        <v>137</v>
      </c>
      <c r="I34" s="22">
        <v>0</v>
      </c>
      <c r="J34" s="140">
        <f>'[4]NMM-TSData'!J13</f>
        <v>3.2959999999999998</v>
      </c>
      <c r="K34" s="140">
        <f>'[4]NMM-TSData'!K13</f>
        <v>4.5590000000000002</v>
      </c>
      <c r="L34" s="140">
        <f>'[4]NMM-TSData'!L13</f>
        <v>5.8220999999999998</v>
      </c>
      <c r="M34" s="140">
        <f>'[4]NMM-TSData'!M13</f>
        <v>7.0850999999999997</v>
      </c>
      <c r="N34" s="140">
        <f>'[4]NMM-TSData'!N13</f>
        <v>8.3482000000000003</v>
      </c>
      <c r="O34" s="140">
        <f>'[4]NMM-TSData'!O13</f>
        <v>9.6111784370000013</v>
      </c>
      <c r="P34" s="185">
        <f t="shared" si="7"/>
        <v>9.7113601014899036</v>
      </c>
      <c r="Q34" s="185">
        <f t="shared" si="7"/>
        <v>9.7301441635817607</v>
      </c>
      <c r="R34" s="185">
        <f t="shared" si="7"/>
        <v>8.8973840775094484</v>
      </c>
      <c r="S34" s="185">
        <f t="shared" si="7"/>
        <v>9.1415768847035856</v>
      </c>
      <c r="T34" s="185">
        <f t="shared" si="7"/>
        <v>9.3607242757752456</v>
      </c>
      <c r="U34" s="185">
        <f t="shared" si="7"/>
        <v>9.5798716668469073</v>
      </c>
      <c r="V34" s="185">
        <f t="shared" si="7"/>
        <v>9.7927577038879505</v>
      </c>
      <c r="W34" s="185">
        <f t="shared" si="7"/>
        <v>10.018166448990231</v>
      </c>
      <c r="X34" s="185">
        <f t="shared" si="7"/>
        <v>10.293666026337462</v>
      </c>
      <c r="Y34" s="185">
        <f t="shared" si="7"/>
        <v>10.569165603684693</v>
      </c>
      <c r="Z34" s="185">
        <f t="shared" si="7"/>
        <v>10.857187889093163</v>
      </c>
      <c r="AA34" s="185">
        <f t="shared" si="7"/>
        <v>11.145210174501633</v>
      </c>
      <c r="AB34" s="185">
        <f t="shared" si="7"/>
        <v>11.439493813940722</v>
      </c>
      <c r="AC34" s="185">
        <f t="shared" si="7"/>
        <v>11.777606931594143</v>
      </c>
      <c r="AD34" s="185">
        <f t="shared" si="7"/>
        <v>12.096935987155709</v>
      </c>
      <c r="AE34" s="185">
        <f t="shared" si="7"/>
        <v>12.447571812870367</v>
      </c>
      <c r="AF34" s="185">
        <f t="shared" si="7"/>
        <v>12.829514408738119</v>
      </c>
      <c r="AG34" s="185">
        <f t="shared" si="7"/>
        <v>13.236502420728348</v>
      </c>
      <c r="AH34" s="185">
        <f t="shared" si="7"/>
        <v>13.656013140779812</v>
      </c>
      <c r="AI34" s="185">
        <f t="shared" si="7"/>
        <v>14.088046568892517</v>
      </c>
      <c r="AJ34" s="185">
        <f t="shared" si="7"/>
        <v>14.520079997005222</v>
      </c>
      <c r="AK34" s="185">
        <f t="shared" si="7"/>
        <v>14.977158841240401</v>
      </c>
      <c r="AL34" s="185">
        <f t="shared" si="7"/>
        <v>15.453021747567437</v>
      </c>
      <c r="AM34" s="185">
        <f t="shared" si="7"/>
        <v>18.151665334764182</v>
      </c>
      <c r="AN34" s="185">
        <f t="shared" si="7"/>
        <v>21.56410328145148</v>
      </c>
      <c r="AO34" s="185">
        <f t="shared" si="7"/>
        <v>27.55621908875376</v>
      </c>
      <c r="AP34" s="185">
        <f t="shared" ref="AP34" si="9">AO34*AP18/AO18</f>
        <v>33.667300622637796</v>
      </c>
    </row>
    <row r="35" spans="1:42">
      <c r="A35" s="57" t="str">
        <f t="shared" si="8"/>
        <v>*</v>
      </c>
      <c r="B35" s="22" t="s">
        <v>288</v>
      </c>
      <c r="C35" s="23" t="s">
        <v>137</v>
      </c>
      <c r="D35" s="57">
        <f t="shared" si="6"/>
        <v>0</v>
      </c>
      <c r="E35" s="23" t="s">
        <v>137</v>
      </c>
      <c r="F35" s="23" t="s">
        <v>137</v>
      </c>
      <c r="G35" s="23" t="s">
        <v>137</v>
      </c>
      <c r="H35" s="23" t="s">
        <v>137</v>
      </c>
      <c r="I35" s="22">
        <v>0</v>
      </c>
      <c r="J35" s="110">
        <v>0</v>
      </c>
      <c r="K35" s="185">
        <f t="shared" ref="K35:AP37" si="10">J35*K19/J19</f>
        <v>0</v>
      </c>
      <c r="L35" s="185">
        <f t="shared" si="10"/>
        <v>0</v>
      </c>
      <c r="M35" s="185">
        <f t="shared" si="10"/>
        <v>0</v>
      </c>
      <c r="N35" s="185">
        <f t="shared" si="10"/>
        <v>0</v>
      </c>
      <c r="O35" s="185">
        <f t="shared" si="10"/>
        <v>0</v>
      </c>
      <c r="P35" s="185">
        <f t="shared" si="10"/>
        <v>0</v>
      </c>
      <c r="Q35" s="185">
        <f t="shared" si="10"/>
        <v>0</v>
      </c>
      <c r="R35" s="185">
        <f t="shared" si="10"/>
        <v>0</v>
      </c>
      <c r="S35" s="185">
        <f t="shared" si="10"/>
        <v>0</v>
      </c>
      <c r="T35" s="185">
        <f t="shared" si="10"/>
        <v>0</v>
      </c>
      <c r="U35" s="185">
        <f t="shared" si="10"/>
        <v>0</v>
      </c>
      <c r="V35" s="185">
        <f t="shared" si="10"/>
        <v>0</v>
      </c>
      <c r="W35" s="185">
        <f t="shared" si="10"/>
        <v>0</v>
      </c>
      <c r="X35" s="185">
        <f t="shared" si="10"/>
        <v>0</v>
      </c>
      <c r="Y35" s="185">
        <f t="shared" si="10"/>
        <v>0</v>
      </c>
      <c r="Z35" s="185">
        <f t="shared" si="10"/>
        <v>0</v>
      </c>
      <c r="AA35" s="185">
        <f t="shared" si="10"/>
        <v>0</v>
      </c>
      <c r="AB35" s="185">
        <f t="shared" si="10"/>
        <v>0</v>
      </c>
      <c r="AC35" s="185">
        <f t="shared" si="10"/>
        <v>0</v>
      </c>
      <c r="AD35" s="185">
        <f t="shared" si="10"/>
        <v>0</v>
      </c>
      <c r="AE35" s="185">
        <f t="shared" si="10"/>
        <v>0</v>
      </c>
      <c r="AF35" s="185">
        <f t="shared" si="10"/>
        <v>0</v>
      </c>
      <c r="AG35" s="185">
        <f t="shared" si="10"/>
        <v>0</v>
      </c>
      <c r="AH35" s="185">
        <f t="shared" si="10"/>
        <v>0</v>
      </c>
      <c r="AI35" s="185">
        <f t="shared" si="10"/>
        <v>0</v>
      </c>
      <c r="AJ35" s="185">
        <f t="shared" si="10"/>
        <v>0</v>
      </c>
      <c r="AK35" s="185">
        <f t="shared" si="10"/>
        <v>0</v>
      </c>
      <c r="AL35" s="185">
        <f t="shared" si="10"/>
        <v>0</v>
      </c>
      <c r="AM35" s="185">
        <f t="shared" si="10"/>
        <v>0</v>
      </c>
      <c r="AN35" s="185">
        <f t="shared" si="10"/>
        <v>0</v>
      </c>
      <c r="AO35" s="185">
        <f t="shared" si="10"/>
        <v>0</v>
      </c>
      <c r="AP35" s="185">
        <f t="shared" si="10"/>
        <v>0</v>
      </c>
    </row>
    <row r="36" spans="1:42">
      <c r="A36" s="57" t="str">
        <f t="shared" si="8"/>
        <v/>
      </c>
      <c r="B36" s="22" t="s">
        <v>288</v>
      </c>
      <c r="C36" s="23" t="s">
        <v>137</v>
      </c>
      <c r="D36" s="57" t="str">
        <f t="shared" si="6"/>
        <v>IPPPAP</v>
      </c>
      <c r="E36" s="23" t="s">
        <v>137</v>
      </c>
      <c r="F36" s="23" t="s">
        <v>137</v>
      </c>
      <c r="G36" s="23" t="s">
        <v>137</v>
      </c>
      <c r="H36" s="23" t="s">
        <v>137</v>
      </c>
      <c r="I36" s="22">
        <v>0</v>
      </c>
      <c r="J36" s="139">
        <f>'[4]PP-TSData'!J29</f>
        <v>2.0533000000000001</v>
      </c>
      <c r="K36" s="139">
        <f>'[4]PP-TSData'!K29</f>
        <v>2.0786519999999999</v>
      </c>
      <c r="L36" s="139">
        <f>'[4]PP-TSData'!L29</f>
        <v>2.1040039999999998</v>
      </c>
      <c r="M36" s="139">
        <f>'[4]PP-TSData'!M29</f>
        <v>2.1293559999999996</v>
      </c>
      <c r="N36" s="139">
        <f>'[4]PP-TSData'!N29</f>
        <v>2.1547079999999994</v>
      </c>
      <c r="O36" s="139">
        <f>'[4]PP-TSData'!O29</f>
        <v>2.1800600000000001</v>
      </c>
      <c r="P36" s="185">
        <f t="shared" si="10"/>
        <v>2.2106692667706707</v>
      </c>
      <c r="Q36" s="185">
        <f t="shared" si="10"/>
        <v>2.2129366198647946</v>
      </c>
      <c r="R36" s="185">
        <f t="shared" si="10"/>
        <v>2.0587566094643788</v>
      </c>
      <c r="S36" s="185">
        <f t="shared" si="10"/>
        <v>2.1177077899115964</v>
      </c>
      <c r="T36" s="185">
        <f t="shared" si="10"/>
        <v>2.1709905876235047</v>
      </c>
      <c r="U36" s="185">
        <f t="shared" si="10"/>
        <v>2.2231397087883518</v>
      </c>
      <c r="V36" s="185">
        <f t="shared" si="10"/>
        <v>2.2718878003120127</v>
      </c>
      <c r="W36" s="185">
        <f t="shared" si="10"/>
        <v>2.3251705980239215</v>
      </c>
      <c r="X36" s="185">
        <f t="shared" si="10"/>
        <v>2.393191190847634</v>
      </c>
      <c r="Y36" s="185">
        <f t="shared" si="10"/>
        <v>2.4589444305772235</v>
      </c>
      <c r="Z36" s="185">
        <f t="shared" si="10"/>
        <v>2.5258313468538747</v>
      </c>
      <c r="AA36" s="185">
        <f t="shared" si="10"/>
        <v>2.588183556942278</v>
      </c>
      <c r="AB36" s="185">
        <f t="shared" si="10"/>
        <v>2.6550704732189296</v>
      </c>
      <c r="AC36" s="185">
        <f t="shared" si="10"/>
        <v>2.7230910660426426</v>
      </c>
      <c r="AD36" s="185">
        <f t="shared" si="10"/>
        <v>2.7899779823192938</v>
      </c>
      <c r="AE36" s="185">
        <f t="shared" si="10"/>
        <v>2.8636669578783165</v>
      </c>
      <c r="AF36" s="185">
        <f t="shared" si="10"/>
        <v>2.9407569630785244</v>
      </c>
      <c r="AG36" s="185">
        <f t="shared" si="10"/>
        <v>3.021247997919918</v>
      </c>
      <c r="AH36" s="185">
        <f t="shared" si="10"/>
        <v>3.1085410920436836</v>
      </c>
      <c r="AI36" s="185">
        <f t="shared" si="10"/>
        <v>3.1992352158086339</v>
      </c>
      <c r="AJ36" s="185">
        <f t="shared" si="10"/>
        <v>3.2910630161206464</v>
      </c>
      <c r="AK36" s="185">
        <f t="shared" si="10"/>
        <v>3.3874255226209065</v>
      </c>
      <c r="AL36" s="185">
        <f t="shared" si="10"/>
        <v>3.4894564118564761</v>
      </c>
      <c r="AM36" s="185">
        <f t="shared" si="10"/>
        <v>4.0381558606344274</v>
      </c>
      <c r="AN36" s="185">
        <f t="shared" si="10"/>
        <v>4.727431201248053</v>
      </c>
      <c r="AO36" s="185">
        <f t="shared" si="10"/>
        <v>5.9419766753336409</v>
      </c>
      <c r="AP36" s="185">
        <f t="shared" si="10"/>
        <v>7.1799514647252263</v>
      </c>
    </row>
    <row r="37" spans="1:42">
      <c r="A37" s="57" t="str">
        <f t="shared" si="8"/>
        <v/>
      </c>
      <c r="B37" s="22" t="s">
        <v>288</v>
      </c>
      <c r="C37" s="23" t="s">
        <v>137</v>
      </c>
      <c r="D37" s="57" t="str">
        <f t="shared" si="6"/>
        <v>IPPPULPD</v>
      </c>
      <c r="E37" s="23" t="s">
        <v>137</v>
      </c>
      <c r="F37" s="23" t="s">
        <v>137</v>
      </c>
      <c r="G37" s="23" t="s">
        <v>137</v>
      </c>
      <c r="H37" s="23" t="s">
        <v>137</v>
      </c>
      <c r="I37" s="22">
        <v>0</v>
      </c>
      <c r="J37" s="139">
        <f>'[4]PP-TSData'!J28</f>
        <v>0.73711514499999997</v>
      </c>
      <c r="K37" s="139">
        <f>'[4]PP-TSData'!K28</f>
        <v>0.73711514499999997</v>
      </c>
      <c r="L37" s="139">
        <f>'[4]PP-TSData'!L28</f>
        <v>0.73711514499999997</v>
      </c>
      <c r="M37" s="139">
        <f>'[4]PP-TSData'!M28</f>
        <v>0.73711514499999997</v>
      </c>
      <c r="N37" s="139">
        <f>'[4]PP-TSData'!N28</f>
        <v>0.7</v>
      </c>
      <c r="O37" s="139">
        <f>'[4]PP-TSData'!O28</f>
        <v>0.65910719806663931</v>
      </c>
      <c r="P37" s="185">
        <f t="shared" si="10"/>
        <v>0.66836143329690412</v>
      </c>
      <c r="Q37" s="185">
        <f t="shared" si="10"/>
        <v>0.66904693220284961</v>
      </c>
      <c r="R37" s="185">
        <f t="shared" si="10"/>
        <v>0.62243300659855272</v>
      </c>
      <c r="S37" s="185">
        <f t="shared" si="10"/>
        <v>0.64025597815313684</v>
      </c>
      <c r="T37" s="185">
        <f t="shared" si="10"/>
        <v>0.65636520244285701</v>
      </c>
      <c r="U37" s="185">
        <f t="shared" si="10"/>
        <v>0.67213167727960454</v>
      </c>
      <c r="V37" s="185">
        <f t="shared" si="10"/>
        <v>0.68686990375743373</v>
      </c>
      <c r="W37" s="185">
        <f t="shared" si="10"/>
        <v>0.70297912804715412</v>
      </c>
      <c r="X37" s="185">
        <f t="shared" si="10"/>
        <v>0.72354409522552032</v>
      </c>
      <c r="Y37" s="185">
        <f t="shared" si="10"/>
        <v>0.74342356349794114</v>
      </c>
      <c r="Z37" s="185">
        <f t="shared" si="10"/>
        <v>0.76364578122333471</v>
      </c>
      <c r="AA37" s="185">
        <f t="shared" si="10"/>
        <v>0.78249700113683707</v>
      </c>
      <c r="AB37" s="185">
        <f t="shared" si="10"/>
        <v>0.80271921886223074</v>
      </c>
      <c r="AC37" s="185">
        <f t="shared" si="10"/>
        <v>0.82328418604059694</v>
      </c>
      <c r="AD37" s="185">
        <f t="shared" si="10"/>
        <v>0.84350640376599051</v>
      </c>
      <c r="AE37" s="185">
        <f t="shared" si="10"/>
        <v>0.86578511820922066</v>
      </c>
      <c r="AF37" s="185">
        <f t="shared" si="10"/>
        <v>0.88909208101136905</v>
      </c>
      <c r="AG37" s="185">
        <f t="shared" si="10"/>
        <v>0.91342729217243568</v>
      </c>
      <c r="AH37" s="185">
        <f t="shared" si="10"/>
        <v>0.93981900005133923</v>
      </c>
      <c r="AI37" s="185">
        <f t="shared" si="10"/>
        <v>0.96723895628916079</v>
      </c>
      <c r="AJ37" s="185">
        <f t="shared" si="10"/>
        <v>0.99500166197995532</v>
      </c>
      <c r="AK37" s="185">
        <f t="shared" si="10"/>
        <v>1.0241353654826408</v>
      </c>
      <c r="AL37" s="185">
        <f t="shared" si="10"/>
        <v>1.0549828162501904</v>
      </c>
      <c r="AM37" s="185">
        <f t="shared" si="10"/>
        <v>1.2208735514890117</v>
      </c>
      <c r="AN37" s="185">
        <f t="shared" si="10"/>
        <v>1.429265218896457</v>
      </c>
      <c r="AO37" s="185">
        <f t="shared" si="10"/>
        <v>1.7964641328479398</v>
      </c>
      <c r="AP37" s="185">
        <f t="shared" si="10"/>
        <v>2.1707465354942088</v>
      </c>
    </row>
    <row r="38" spans="1:42">
      <c r="A38" s="57" t="str">
        <f t="shared" si="8"/>
        <v>*</v>
      </c>
      <c r="B38" s="22" t="s">
        <v>288</v>
      </c>
      <c r="C38" s="23" t="s">
        <v>137</v>
      </c>
      <c r="D38" s="57">
        <f t="shared" si="6"/>
        <v>0</v>
      </c>
      <c r="E38" s="23" t="s">
        <v>137</v>
      </c>
      <c r="F38" s="23" t="s">
        <v>137</v>
      </c>
      <c r="G38" s="23" t="s">
        <v>137</v>
      </c>
      <c r="H38" s="23" t="s">
        <v>137</v>
      </c>
      <c r="I38" s="22">
        <v>0</v>
      </c>
      <c r="J38" s="110">
        <v>0</v>
      </c>
      <c r="K38" s="185">
        <f t="shared" ref="K38:AP38" si="11">J38*K22/J22</f>
        <v>0</v>
      </c>
      <c r="L38" s="185">
        <f t="shared" si="11"/>
        <v>0</v>
      </c>
      <c r="M38" s="185">
        <f t="shared" si="11"/>
        <v>0</v>
      </c>
      <c r="N38" s="185">
        <f t="shared" si="11"/>
        <v>0</v>
      </c>
      <c r="O38" s="185">
        <f t="shared" si="11"/>
        <v>0</v>
      </c>
      <c r="P38" s="185">
        <f t="shared" si="11"/>
        <v>0</v>
      </c>
      <c r="Q38" s="185">
        <f t="shared" si="11"/>
        <v>0</v>
      </c>
      <c r="R38" s="185">
        <f t="shared" si="11"/>
        <v>0</v>
      </c>
      <c r="S38" s="185">
        <f t="shared" si="11"/>
        <v>0</v>
      </c>
      <c r="T38" s="185">
        <f t="shared" si="11"/>
        <v>0</v>
      </c>
      <c r="U38" s="185">
        <f t="shared" si="11"/>
        <v>0</v>
      </c>
      <c r="V38" s="185">
        <f t="shared" si="11"/>
        <v>0</v>
      </c>
      <c r="W38" s="185">
        <f t="shared" si="11"/>
        <v>0</v>
      </c>
      <c r="X38" s="185">
        <f t="shared" si="11"/>
        <v>0</v>
      </c>
      <c r="Y38" s="185">
        <f t="shared" si="11"/>
        <v>0</v>
      </c>
      <c r="Z38" s="185">
        <f t="shared" si="11"/>
        <v>0</v>
      </c>
      <c r="AA38" s="185">
        <f t="shared" si="11"/>
        <v>0</v>
      </c>
      <c r="AB38" s="185">
        <f t="shared" si="11"/>
        <v>0</v>
      </c>
      <c r="AC38" s="185">
        <f t="shared" si="11"/>
        <v>0</v>
      </c>
      <c r="AD38" s="185">
        <f t="shared" si="11"/>
        <v>0</v>
      </c>
      <c r="AE38" s="185">
        <f t="shared" si="11"/>
        <v>0</v>
      </c>
      <c r="AF38" s="185">
        <f t="shared" si="11"/>
        <v>0</v>
      </c>
      <c r="AG38" s="185">
        <f t="shared" si="11"/>
        <v>0</v>
      </c>
      <c r="AH38" s="185">
        <f t="shared" si="11"/>
        <v>0</v>
      </c>
      <c r="AI38" s="185">
        <f t="shared" si="11"/>
        <v>0</v>
      </c>
      <c r="AJ38" s="185">
        <f t="shared" si="11"/>
        <v>0</v>
      </c>
      <c r="AK38" s="185">
        <f t="shared" si="11"/>
        <v>0</v>
      </c>
      <c r="AL38" s="185">
        <f t="shared" si="11"/>
        <v>0</v>
      </c>
      <c r="AM38" s="185">
        <f t="shared" si="11"/>
        <v>0</v>
      </c>
      <c r="AN38" s="185">
        <f t="shared" si="11"/>
        <v>0</v>
      </c>
      <c r="AO38" s="185">
        <f t="shared" si="11"/>
        <v>0</v>
      </c>
      <c r="AP38" s="185">
        <f t="shared" si="11"/>
        <v>0</v>
      </c>
    </row>
    <row r="39" spans="1:42">
      <c r="A39" s="185" t="s">
        <v>16</v>
      </c>
      <c r="B39" s="186"/>
    </row>
    <row r="40" spans="1:42" ht="15.75" thickBot="1">
      <c r="A40" s="185" t="s">
        <v>16</v>
      </c>
      <c r="B40" s="14" t="s">
        <v>290</v>
      </c>
      <c r="C40" s="14"/>
      <c r="D40" s="185">
        <v>2010</v>
      </c>
      <c r="E40" s="185">
        <v>2020</v>
      </c>
      <c r="F40" s="185">
        <v>2030</v>
      </c>
      <c r="G40" s="185">
        <v>2050</v>
      </c>
    </row>
    <row r="41" spans="1:42">
      <c r="A41" s="185" t="s">
        <v>16</v>
      </c>
      <c r="B41" s="186" t="str">
        <f t="shared" ref="B41:C52" si="12">B10</f>
        <v>MI</v>
      </c>
      <c r="C41" s="186" t="str">
        <f t="shared" si="12"/>
        <v>Mining</v>
      </c>
      <c r="D41" s="185">
        <v>1</v>
      </c>
      <c r="E41" s="185">
        <v>1.0220604419830652</v>
      </c>
      <c r="F41" s="185">
        <v>1.0684529596700734</v>
      </c>
      <c r="G41" s="185">
        <f>F41</f>
        <v>1.0684529596700734</v>
      </c>
      <c r="J41" s="185">
        <f>IF(J$7=-1,K41,IF(J$7=99,I41,IF(J$7=0,INDEX($D41:$G41,0,J$5),(INDEX($D41:$G41,0,J$7+1)-INDEX($D41:$G41,0,J$7))/(INDEX($D$4:$G$4,0,J$7+1)-INDEX($D$4:$G$4,0,J$7))+I41)))</f>
        <v>1</v>
      </c>
      <c r="K41" s="185">
        <f t="shared" ref="K41:Z42" si="13">IF(K$7=-1,L41,IF(K$7=99,J41,IF(K$7=0,INDEX($D41:$G41,0,K$5),(INDEX($D41:$G41,0,K$7+1)-INDEX($D41:$G41,0,K$7))/(INDEX($D$4:$G$4,0,K$7+1)-INDEX($D$4:$G$4,0,K$7))+J41)))</f>
        <v>1.0027575552478831</v>
      </c>
      <c r="L41" s="185">
        <f t="shared" si="13"/>
        <v>1.0055151104957663</v>
      </c>
      <c r="M41" s="185">
        <f t="shared" si="13"/>
        <v>1.0082726657436494</v>
      </c>
      <c r="N41" s="185">
        <f t="shared" si="13"/>
        <v>1.0110302209915325</v>
      </c>
      <c r="O41" s="185">
        <f t="shared" si="13"/>
        <v>1.0137877762394156</v>
      </c>
      <c r="P41" s="185">
        <f t="shared" si="13"/>
        <v>1.0165453314872988</v>
      </c>
      <c r="Q41" s="185">
        <f t="shared" si="13"/>
        <v>1.0193028867351819</v>
      </c>
      <c r="R41" s="185">
        <f t="shared" si="13"/>
        <v>1.0220604419830652</v>
      </c>
      <c r="S41" s="185">
        <f t="shared" si="13"/>
        <v>1.0266996937517661</v>
      </c>
      <c r="T41" s="185">
        <f t="shared" si="13"/>
        <v>1.0313389455204669</v>
      </c>
      <c r="U41" s="185">
        <f t="shared" si="13"/>
        <v>1.0359781972891677</v>
      </c>
      <c r="V41" s="185">
        <f t="shared" si="13"/>
        <v>1.0406174490578686</v>
      </c>
      <c r="W41" s="185">
        <f t="shared" si="13"/>
        <v>1.0452567008265694</v>
      </c>
      <c r="X41" s="185">
        <f t="shared" si="13"/>
        <v>1.0498959525952702</v>
      </c>
      <c r="Y41" s="185">
        <f t="shared" si="13"/>
        <v>1.0545352043639711</v>
      </c>
      <c r="Z41" s="185">
        <f t="shared" si="13"/>
        <v>1.0591744561326719</v>
      </c>
      <c r="AA41" s="185">
        <f t="shared" ref="AA41:AP42" si="14">IF(AA$7=-1,AB41,IF(AA$7=99,Z41,IF(AA$7=0,INDEX($D41:$G41,0,AA$5),(INDEX($D41:$G41,0,AA$7+1)-INDEX($D41:$G41,0,AA$7))/(INDEX($D$4:$G$4,0,AA$7+1)-INDEX($D$4:$G$4,0,AA$7))+Z41)))</f>
        <v>1.0638137079013728</v>
      </c>
      <c r="AB41" s="185">
        <f t="shared" si="14"/>
        <v>1.0684529596700734</v>
      </c>
      <c r="AC41" s="185">
        <f t="shared" si="14"/>
        <v>1.0684529596700734</v>
      </c>
      <c r="AD41" s="185">
        <f t="shared" si="14"/>
        <v>1.0684529596700734</v>
      </c>
      <c r="AE41" s="185">
        <f t="shared" si="14"/>
        <v>1.0684529596700734</v>
      </c>
      <c r="AF41" s="185">
        <f t="shared" si="14"/>
        <v>1.0684529596700734</v>
      </c>
      <c r="AG41" s="185">
        <f t="shared" si="14"/>
        <v>1.0684529596700734</v>
      </c>
      <c r="AH41" s="185">
        <f t="shared" si="14"/>
        <v>1.0684529596700734</v>
      </c>
      <c r="AI41" s="185">
        <f t="shared" si="14"/>
        <v>1.0684529596700734</v>
      </c>
      <c r="AJ41" s="185">
        <f t="shared" si="14"/>
        <v>1.0684529596700734</v>
      </c>
      <c r="AK41" s="185">
        <f t="shared" si="14"/>
        <v>1.0684529596700734</v>
      </c>
      <c r="AL41" s="185">
        <f t="shared" si="14"/>
        <v>1.0684529596700734</v>
      </c>
      <c r="AM41" s="185">
        <f t="shared" si="14"/>
        <v>1.0684529596700734</v>
      </c>
      <c r="AN41" s="185">
        <f t="shared" si="14"/>
        <v>1.0684529596700734</v>
      </c>
      <c r="AO41" s="185">
        <f t="shared" si="14"/>
        <v>1.0684529596700734</v>
      </c>
      <c r="AP41" s="185">
        <f t="shared" si="14"/>
        <v>1.0684529596700734</v>
      </c>
    </row>
    <row r="42" spans="1:42">
      <c r="A42" s="185" t="s">
        <v>16</v>
      </c>
      <c r="B42" s="186" t="str">
        <f t="shared" si="12"/>
        <v>FA</v>
      </c>
      <c r="C42" s="186" t="str">
        <f t="shared" si="12"/>
        <v>Ferro Alloys</v>
      </c>
      <c r="D42" s="185">
        <v>1</v>
      </c>
      <c r="E42" s="185">
        <v>1</v>
      </c>
      <c r="F42" s="185">
        <v>1</v>
      </c>
      <c r="G42" s="185">
        <v>1</v>
      </c>
      <c r="J42" s="185">
        <f>IF(J$7=-1,K42,IF(J$7=99,I42,IF(J$7=0,INDEX($D42:$G42,0,J$5),(INDEX($D42:$G42,0,J$7+1)-INDEX($D42:$G42,0,J$7))/(INDEX($D$4:$G$4,0,J$7+1)-INDEX($D$4:$G$4,0,J$7))+I42)))</f>
        <v>1</v>
      </c>
      <c r="K42" s="185">
        <f t="shared" si="13"/>
        <v>1</v>
      </c>
      <c r="L42" s="185">
        <f t="shared" si="13"/>
        <v>1</v>
      </c>
      <c r="M42" s="185">
        <f t="shared" si="13"/>
        <v>1</v>
      </c>
      <c r="N42" s="185">
        <f t="shared" si="13"/>
        <v>1</v>
      </c>
      <c r="O42" s="185">
        <f t="shared" si="13"/>
        <v>1</v>
      </c>
      <c r="P42" s="185">
        <f t="shared" si="13"/>
        <v>1</v>
      </c>
      <c r="Q42" s="185">
        <f t="shared" si="13"/>
        <v>1</v>
      </c>
      <c r="R42" s="185">
        <f t="shared" si="13"/>
        <v>1</v>
      </c>
      <c r="S42" s="185">
        <f t="shared" si="13"/>
        <v>1</v>
      </c>
      <c r="T42" s="185">
        <f t="shared" si="13"/>
        <v>1</v>
      </c>
      <c r="U42" s="185">
        <f t="shared" si="13"/>
        <v>1</v>
      </c>
      <c r="V42" s="185">
        <f t="shared" si="13"/>
        <v>1</v>
      </c>
      <c r="W42" s="185">
        <f t="shared" si="13"/>
        <v>1</v>
      </c>
      <c r="X42" s="185">
        <f t="shared" si="13"/>
        <v>1</v>
      </c>
      <c r="Y42" s="185">
        <f t="shared" si="13"/>
        <v>1</v>
      </c>
      <c r="Z42" s="185">
        <f t="shared" si="13"/>
        <v>1</v>
      </c>
      <c r="AA42" s="185">
        <f t="shared" si="14"/>
        <v>1</v>
      </c>
      <c r="AB42" s="185">
        <f t="shared" si="14"/>
        <v>1</v>
      </c>
      <c r="AC42" s="185">
        <f t="shared" si="14"/>
        <v>1</v>
      </c>
      <c r="AD42" s="185">
        <f t="shared" si="14"/>
        <v>1</v>
      </c>
      <c r="AE42" s="185">
        <f t="shared" si="14"/>
        <v>1</v>
      </c>
      <c r="AF42" s="185">
        <f t="shared" si="14"/>
        <v>1</v>
      </c>
      <c r="AG42" s="185">
        <f t="shared" si="14"/>
        <v>1</v>
      </c>
      <c r="AH42" s="185">
        <f t="shared" si="14"/>
        <v>1</v>
      </c>
      <c r="AI42" s="185">
        <f t="shared" si="14"/>
        <v>1</v>
      </c>
      <c r="AJ42" s="185">
        <f t="shared" si="14"/>
        <v>1</v>
      </c>
      <c r="AK42" s="185">
        <f t="shared" si="14"/>
        <v>1</v>
      </c>
      <c r="AL42" s="185">
        <f t="shared" si="14"/>
        <v>1</v>
      </c>
      <c r="AM42" s="185">
        <f t="shared" si="14"/>
        <v>1</v>
      </c>
      <c r="AN42" s="185">
        <f t="shared" si="14"/>
        <v>1</v>
      </c>
      <c r="AO42" s="185">
        <f t="shared" si="14"/>
        <v>1</v>
      </c>
      <c r="AP42" s="185">
        <f t="shared" si="14"/>
        <v>1</v>
      </c>
    </row>
    <row r="43" spans="1:42">
      <c r="A43" s="185" t="s">
        <v>16</v>
      </c>
      <c r="B43" s="186" t="str">
        <f t="shared" si="12"/>
        <v>IS</v>
      </c>
      <c r="C43" s="186" t="str">
        <f t="shared" si="12"/>
        <v>Iron &amp; Steel</v>
      </c>
      <c r="D43" s="185">
        <v>1</v>
      </c>
      <c r="E43" s="185">
        <v>1</v>
      </c>
      <c r="F43" s="185">
        <v>1</v>
      </c>
      <c r="G43" s="185">
        <v>1</v>
      </c>
      <c r="J43" s="185">
        <f t="shared" ref="J43:AP48" si="15">IF(J$7=-1,K43,IF(J$7=99,I43,IF(J$7=0,INDEX($D43:$G43,0,J$5),(INDEX($D43:$G43,0,J$7+1)-INDEX($D43:$G43,0,J$7))/(INDEX($D$4:$G$4,0,J$7+1)-INDEX($D$4:$G$4,0,J$7))+I43)))</f>
        <v>1</v>
      </c>
      <c r="K43" s="185">
        <f t="shared" si="15"/>
        <v>1</v>
      </c>
      <c r="L43" s="185">
        <f t="shared" si="15"/>
        <v>1</v>
      </c>
      <c r="M43" s="185">
        <f t="shared" si="15"/>
        <v>1</v>
      </c>
      <c r="N43" s="185">
        <f t="shared" si="15"/>
        <v>1</v>
      </c>
      <c r="O43" s="185">
        <f t="shared" si="15"/>
        <v>1</v>
      </c>
      <c r="P43" s="185">
        <f t="shared" si="15"/>
        <v>1</v>
      </c>
      <c r="Q43" s="185">
        <f t="shared" si="15"/>
        <v>1</v>
      </c>
      <c r="R43" s="185">
        <f t="shared" si="15"/>
        <v>1</v>
      </c>
      <c r="S43" s="185">
        <f t="shared" si="15"/>
        <v>1</v>
      </c>
      <c r="T43" s="185">
        <f t="shared" si="15"/>
        <v>1</v>
      </c>
      <c r="U43" s="185">
        <f t="shared" si="15"/>
        <v>1</v>
      </c>
      <c r="V43" s="185">
        <f t="shared" si="15"/>
        <v>1</v>
      </c>
      <c r="W43" s="185">
        <f t="shared" si="15"/>
        <v>1</v>
      </c>
      <c r="X43" s="185">
        <f t="shared" si="15"/>
        <v>1</v>
      </c>
      <c r="Y43" s="185">
        <f t="shared" si="15"/>
        <v>1</v>
      </c>
      <c r="Z43" s="185">
        <f t="shared" si="15"/>
        <v>1</v>
      </c>
      <c r="AA43" s="185">
        <f t="shared" si="15"/>
        <v>1</v>
      </c>
      <c r="AB43" s="185">
        <f t="shared" si="15"/>
        <v>1</v>
      </c>
      <c r="AC43" s="185">
        <f t="shared" si="15"/>
        <v>1</v>
      </c>
      <c r="AD43" s="185">
        <f t="shared" si="15"/>
        <v>1</v>
      </c>
      <c r="AE43" s="185">
        <f t="shared" si="15"/>
        <v>1</v>
      </c>
      <c r="AF43" s="185">
        <f t="shared" si="15"/>
        <v>1</v>
      </c>
      <c r="AG43" s="185">
        <f t="shared" si="15"/>
        <v>1</v>
      </c>
      <c r="AH43" s="185">
        <f t="shared" si="15"/>
        <v>1</v>
      </c>
      <c r="AI43" s="185">
        <f t="shared" si="15"/>
        <v>1</v>
      </c>
      <c r="AJ43" s="185">
        <f t="shared" si="15"/>
        <v>1</v>
      </c>
      <c r="AK43" s="185">
        <f t="shared" si="15"/>
        <v>1</v>
      </c>
      <c r="AL43" s="185">
        <f t="shared" si="15"/>
        <v>1</v>
      </c>
      <c r="AM43" s="185">
        <f t="shared" si="15"/>
        <v>1</v>
      </c>
      <c r="AN43" s="185">
        <f t="shared" si="15"/>
        <v>1</v>
      </c>
      <c r="AO43" s="185">
        <f t="shared" si="15"/>
        <v>1</v>
      </c>
      <c r="AP43" s="185">
        <f t="shared" si="15"/>
        <v>1</v>
      </c>
    </row>
    <row r="44" spans="1:42">
      <c r="A44" s="185" t="s">
        <v>16</v>
      </c>
      <c r="B44" s="186" t="str">
        <f t="shared" si="12"/>
        <v>CP</v>
      </c>
      <c r="C44" s="186" t="str">
        <f t="shared" si="12"/>
        <v>Chemicals</v>
      </c>
      <c r="D44" s="185">
        <v>1</v>
      </c>
      <c r="E44" s="185">
        <v>1</v>
      </c>
      <c r="F44" s="185">
        <v>1</v>
      </c>
      <c r="G44" s="185">
        <v>1</v>
      </c>
      <c r="J44" s="185">
        <f t="shared" si="15"/>
        <v>1</v>
      </c>
      <c r="K44" s="185">
        <f t="shared" si="15"/>
        <v>1</v>
      </c>
      <c r="L44" s="185">
        <f t="shared" si="15"/>
        <v>1</v>
      </c>
      <c r="M44" s="185">
        <f t="shared" si="15"/>
        <v>1</v>
      </c>
      <c r="N44" s="185">
        <f t="shared" si="15"/>
        <v>1</v>
      </c>
      <c r="O44" s="185">
        <f t="shared" si="15"/>
        <v>1</v>
      </c>
      <c r="P44" s="185">
        <f t="shared" si="15"/>
        <v>1</v>
      </c>
      <c r="Q44" s="185">
        <f t="shared" si="15"/>
        <v>1</v>
      </c>
      <c r="R44" s="185">
        <f t="shared" si="15"/>
        <v>1</v>
      </c>
      <c r="S44" s="185">
        <f t="shared" si="15"/>
        <v>1</v>
      </c>
      <c r="T44" s="185">
        <f t="shared" si="15"/>
        <v>1</v>
      </c>
      <c r="U44" s="185">
        <f t="shared" si="15"/>
        <v>1</v>
      </c>
      <c r="V44" s="185">
        <f t="shared" si="15"/>
        <v>1</v>
      </c>
      <c r="W44" s="185">
        <f t="shared" si="15"/>
        <v>1</v>
      </c>
      <c r="X44" s="185">
        <f t="shared" si="15"/>
        <v>1</v>
      </c>
      <c r="Y44" s="185">
        <f t="shared" si="15"/>
        <v>1</v>
      </c>
      <c r="Z44" s="185">
        <f t="shared" si="15"/>
        <v>1</v>
      </c>
      <c r="AA44" s="185">
        <f t="shared" si="15"/>
        <v>1</v>
      </c>
      <c r="AB44" s="185">
        <f t="shared" si="15"/>
        <v>1</v>
      </c>
      <c r="AC44" s="185">
        <f t="shared" si="15"/>
        <v>1</v>
      </c>
      <c r="AD44" s="185">
        <f t="shared" si="15"/>
        <v>1</v>
      </c>
      <c r="AE44" s="185">
        <f t="shared" si="15"/>
        <v>1</v>
      </c>
      <c r="AF44" s="185">
        <f t="shared" si="15"/>
        <v>1</v>
      </c>
      <c r="AG44" s="185">
        <f t="shared" si="15"/>
        <v>1</v>
      </c>
      <c r="AH44" s="185">
        <f t="shared" si="15"/>
        <v>1</v>
      </c>
      <c r="AI44" s="185">
        <f t="shared" si="15"/>
        <v>1</v>
      </c>
      <c r="AJ44" s="185">
        <f t="shared" si="15"/>
        <v>1</v>
      </c>
      <c r="AK44" s="185">
        <f t="shared" si="15"/>
        <v>1</v>
      </c>
      <c r="AL44" s="185">
        <f t="shared" si="15"/>
        <v>1</v>
      </c>
      <c r="AM44" s="185">
        <f t="shared" si="15"/>
        <v>1</v>
      </c>
      <c r="AN44" s="185">
        <f t="shared" si="15"/>
        <v>1</v>
      </c>
      <c r="AO44" s="185">
        <f t="shared" si="15"/>
        <v>1</v>
      </c>
      <c r="AP44" s="185">
        <f t="shared" si="15"/>
        <v>1</v>
      </c>
    </row>
    <row r="45" spans="1:42">
      <c r="A45" s="185" t="s">
        <v>16</v>
      </c>
      <c r="B45" s="186" t="str">
        <f t="shared" si="12"/>
        <v>NF</v>
      </c>
      <c r="C45" s="186" t="str">
        <f t="shared" si="12"/>
        <v>Precious &amp; Non-Ferrous metals</v>
      </c>
      <c r="D45" s="185">
        <v>1</v>
      </c>
      <c r="E45" s="185">
        <v>1</v>
      </c>
      <c r="F45" s="185">
        <v>1</v>
      </c>
      <c r="G45" s="185">
        <v>1</v>
      </c>
      <c r="J45" s="185">
        <f t="shared" si="15"/>
        <v>1</v>
      </c>
      <c r="K45" s="185">
        <f t="shared" si="15"/>
        <v>1</v>
      </c>
      <c r="L45" s="185">
        <f t="shared" si="15"/>
        <v>1</v>
      </c>
      <c r="M45" s="185">
        <f t="shared" si="15"/>
        <v>1</v>
      </c>
      <c r="N45" s="185">
        <f t="shared" si="15"/>
        <v>1</v>
      </c>
      <c r="O45" s="185">
        <f t="shared" si="15"/>
        <v>1</v>
      </c>
      <c r="P45" s="185">
        <f t="shared" si="15"/>
        <v>1</v>
      </c>
      <c r="Q45" s="185">
        <f t="shared" si="15"/>
        <v>1</v>
      </c>
      <c r="R45" s="185">
        <f t="shared" si="15"/>
        <v>1</v>
      </c>
      <c r="S45" s="185">
        <f t="shared" si="15"/>
        <v>1</v>
      </c>
      <c r="T45" s="185">
        <f t="shared" si="15"/>
        <v>1</v>
      </c>
      <c r="U45" s="185">
        <f t="shared" si="15"/>
        <v>1</v>
      </c>
      <c r="V45" s="185">
        <f t="shared" si="15"/>
        <v>1</v>
      </c>
      <c r="W45" s="185">
        <f t="shared" si="15"/>
        <v>1</v>
      </c>
      <c r="X45" s="185">
        <f t="shared" si="15"/>
        <v>1</v>
      </c>
      <c r="Y45" s="185">
        <f t="shared" si="15"/>
        <v>1</v>
      </c>
      <c r="Z45" s="185">
        <f t="shared" si="15"/>
        <v>1</v>
      </c>
      <c r="AA45" s="185">
        <f t="shared" si="15"/>
        <v>1</v>
      </c>
      <c r="AB45" s="185">
        <f t="shared" si="15"/>
        <v>1</v>
      </c>
      <c r="AC45" s="185">
        <f t="shared" si="15"/>
        <v>1</v>
      </c>
      <c r="AD45" s="185">
        <f t="shared" si="15"/>
        <v>1</v>
      </c>
      <c r="AE45" s="185">
        <f t="shared" si="15"/>
        <v>1</v>
      </c>
      <c r="AF45" s="185">
        <f t="shared" si="15"/>
        <v>1</v>
      </c>
      <c r="AG45" s="185">
        <f t="shared" si="15"/>
        <v>1</v>
      </c>
      <c r="AH45" s="185">
        <f t="shared" si="15"/>
        <v>1</v>
      </c>
      <c r="AI45" s="185">
        <f t="shared" si="15"/>
        <v>1</v>
      </c>
      <c r="AJ45" s="185">
        <f t="shared" si="15"/>
        <v>1</v>
      </c>
      <c r="AK45" s="185">
        <f t="shared" si="15"/>
        <v>1</v>
      </c>
      <c r="AL45" s="185">
        <f t="shared" si="15"/>
        <v>1</v>
      </c>
      <c r="AM45" s="185">
        <f t="shared" si="15"/>
        <v>1</v>
      </c>
      <c r="AN45" s="185">
        <f t="shared" si="15"/>
        <v>1</v>
      </c>
      <c r="AO45" s="185">
        <f t="shared" si="15"/>
        <v>1</v>
      </c>
      <c r="AP45" s="185">
        <f t="shared" si="15"/>
        <v>1</v>
      </c>
    </row>
    <row r="46" spans="1:42">
      <c r="A46" s="185" t="s">
        <v>16</v>
      </c>
      <c r="B46" s="186" t="str">
        <f t="shared" si="12"/>
        <v>NM</v>
      </c>
      <c r="C46" s="186" t="str">
        <f t="shared" si="12"/>
        <v>N.M.M Products</v>
      </c>
      <c r="D46" s="185">
        <v>1</v>
      </c>
      <c r="E46" s="185">
        <v>1</v>
      </c>
      <c r="F46" s="185">
        <v>1</v>
      </c>
      <c r="G46" s="185">
        <v>1</v>
      </c>
      <c r="J46" s="185">
        <f t="shared" si="15"/>
        <v>1</v>
      </c>
      <c r="K46" s="185">
        <f t="shared" si="15"/>
        <v>1</v>
      </c>
      <c r="L46" s="185">
        <f t="shared" si="15"/>
        <v>1</v>
      </c>
      <c r="M46" s="185">
        <f t="shared" si="15"/>
        <v>1</v>
      </c>
      <c r="N46" s="185">
        <f t="shared" si="15"/>
        <v>1</v>
      </c>
      <c r="O46" s="185">
        <f t="shared" si="15"/>
        <v>1</v>
      </c>
      <c r="P46" s="185">
        <f t="shared" si="15"/>
        <v>1</v>
      </c>
      <c r="Q46" s="185">
        <f t="shared" si="15"/>
        <v>1</v>
      </c>
      <c r="R46" s="185">
        <f t="shared" si="15"/>
        <v>1</v>
      </c>
      <c r="S46" s="185">
        <f t="shared" si="15"/>
        <v>1</v>
      </c>
      <c r="T46" s="185">
        <f t="shared" si="15"/>
        <v>1</v>
      </c>
      <c r="U46" s="185">
        <f t="shared" si="15"/>
        <v>1</v>
      </c>
      <c r="V46" s="185">
        <f t="shared" si="15"/>
        <v>1</v>
      </c>
      <c r="W46" s="185">
        <f t="shared" si="15"/>
        <v>1</v>
      </c>
      <c r="X46" s="185">
        <f t="shared" si="15"/>
        <v>1</v>
      </c>
      <c r="Y46" s="185">
        <f t="shared" si="15"/>
        <v>1</v>
      </c>
      <c r="Z46" s="185">
        <f t="shared" si="15"/>
        <v>1</v>
      </c>
      <c r="AA46" s="185">
        <f t="shared" si="15"/>
        <v>1</v>
      </c>
      <c r="AB46" s="185">
        <f t="shared" si="15"/>
        <v>1</v>
      </c>
      <c r="AC46" s="185">
        <f t="shared" si="15"/>
        <v>1</v>
      </c>
      <c r="AD46" s="185">
        <f t="shared" si="15"/>
        <v>1</v>
      </c>
      <c r="AE46" s="185">
        <f t="shared" si="15"/>
        <v>1</v>
      </c>
      <c r="AF46" s="185">
        <f t="shared" si="15"/>
        <v>1</v>
      </c>
      <c r="AG46" s="185">
        <f t="shared" si="15"/>
        <v>1</v>
      </c>
      <c r="AH46" s="185">
        <f t="shared" si="15"/>
        <v>1</v>
      </c>
      <c r="AI46" s="185">
        <f t="shared" si="15"/>
        <v>1</v>
      </c>
      <c r="AJ46" s="185">
        <f t="shared" si="15"/>
        <v>1</v>
      </c>
      <c r="AK46" s="185">
        <f t="shared" si="15"/>
        <v>1</v>
      </c>
      <c r="AL46" s="185">
        <f t="shared" si="15"/>
        <v>1</v>
      </c>
      <c r="AM46" s="185">
        <f t="shared" si="15"/>
        <v>1</v>
      </c>
      <c r="AN46" s="185">
        <f t="shared" si="15"/>
        <v>1</v>
      </c>
      <c r="AO46" s="185">
        <f t="shared" si="15"/>
        <v>1</v>
      </c>
      <c r="AP46" s="185">
        <f t="shared" si="15"/>
        <v>1</v>
      </c>
    </row>
    <row r="47" spans="1:42">
      <c r="A47" s="185" t="s">
        <v>16</v>
      </c>
      <c r="B47" s="186" t="str">
        <f t="shared" si="12"/>
        <v>NM</v>
      </c>
      <c r="C47" s="186" t="str">
        <f t="shared" si="12"/>
        <v>N.M.M Products</v>
      </c>
      <c r="D47" s="185">
        <v>1</v>
      </c>
      <c r="E47" s="185">
        <v>1</v>
      </c>
      <c r="F47" s="185">
        <v>1</v>
      </c>
      <c r="G47" s="185">
        <v>1</v>
      </c>
      <c r="J47" s="185">
        <f t="shared" si="15"/>
        <v>1</v>
      </c>
      <c r="K47" s="185">
        <f t="shared" si="15"/>
        <v>1</v>
      </c>
      <c r="L47" s="185">
        <f t="shared" si="15"/>
        <v>1</v>
      </c>
      <c r="M47" s="185">
        <f t="shared" si="15"/>
        <v>1</v>
      </c>
      <c r="N47" s="185">
        <f t="shared" si="15"/>
        <v>1</v>
      </c>
      <c r="O47" s="185">
        <f t="shared" si="15"/>
        <v>1</v>
      </c>
      <c r="P47" s="185">
        <f t="shared" si="15"/>
        <v>1</v>
      </c>
      <c r="Q47" s="185">
        <f t="shared" si="15"/>
        <v>1</v>
      </c>
      <c r="R47" s="185">
        <f t="shared" si="15"/>
        <v>1</v>
      </c>
      <c r="S47" s="185">
        <f t="shared" si="15"/>
        <v>1</v>
      </c>
      <c r="T47" s="185">
        <f t="shared" si="15"/>
        <v>1</v>
      </c>
      <c r="U47" s="185">
        <f t="shared" si="15"/>
        <v>1</v>
      </c>
      <c r="V47" s="185">
        <f t="shared" si="15"/>
        <v>1</v>
      </c>
      <c r="W47" s="185">
        <f t="shared" si="15"/>
        <v>1</v>
      </c>
      <c r="X47" s="185">
        <f t="shared" si="15"/>
        <v>1</v>
      </c>
      <c r="Y47" s="185">
        <f t="shared" si="15"/>
        <v>1</v>
      </c>
      <c r="Z47" s="185">
        <f t="shared" si="15"/>
        <v>1</v>
      </c>
      <c r="AA47" s="185">
        <f t="shared" si="15"/>
        <v>1</v>
      </c>
      <c r="AB47" s="185">
        <f t="shared" si="15"/>
        <v>1</v>
      </c>
      <c r="AC47" s="185">
        <f t="shared" si="15"/>
        <v>1</v>
      </c>
      <c r="AD47" s="185">
        <f t="shared" si="15"/>
        <v>1</v>
      </c>
      <c r="AE47" s="185">
        <f t="shared" si="15"/>
        <v>1</v>
      </c>
      <c r="AF47" s="185">
        <f t="shared" si="15"/>
        <v>1</v>
      </c>
      <c r="AG47" s="185">
        <f t="shared" si="15"/>
        <v>1</v>
      </c>
      <c r="AH47" s="185">
        <f t="shared" si="15"/>
        <v>1</v>
      </c>
      <c r="AI47" s="185">
        <f t="shared" si="15"/>
        <v>1</v>
      </c>
      <c r="AJ47" s="185">
        <f t="shared" si="15"/>
        <v>1</v>
      </c>
      <c r="AK47" s="185">
        <f t="shared" si="15"/>
        <v>1</v>
      </c>
      <c r="AL47" s="185">
        <f t="shared" si="15"/>
        <v>1</v>
      </c>
      <c r="AM47" s="185">
        <f t="shared" si="15"/>
        <v>1</v>
      </c>
      <c r="AN47" s="185">
        <f t="shared" si="15"/>
        <v>1</v>
      </c>
      <c r="AO47" s="185">
        <f t="shared" si="15"/>
        <v>1</v>
      </c>
      <c r="AP47" s="185">
        <f t="shared" si="15"/>
        <v>1</v>
      </c>
    </row>
    <row r="48" spans="1:42">
      <c r="A48" s="185" t="s">
        <v>16</v>
      </c>
      <c r="B48" s="186" t="str">
        <f t="shared" si="12"/>
        <v>NM</v>
      </c>
      <c r="C48" s="186" t="str">
        <f t="shared" si="12"/>
        <v>N.M.M Products</v>
      </c>
      <c r="D48" s="185">
        <v>1</v>
      </c>
      <c r="E48" s="185">
        <v>1</v>
      </c>
      <c r="F48" s="185">
        <v>1</v>
      </c>
      <c r="G48" s="185">
        <v>1</v>
      </c>
      <c r="J48" s="185">
        <f>IF(J$7=-1,K48,IF(J$7=99,I48,IF(J$7=0,INDEX($D48:$G48,0,J$5),(INDEX($D48:$G48,0,J$7+1)-INDEX($D48:$G48,0,J$7))/(INDEX($D$4:$G$4,0,J$7+1)-INDEX($D$4:$G$4,0,J$7))+I48)))</f>
        <v>1</v>
      </c>
      <c r="K48" s="185">
        <f t="shared" si="15"/>
        <v>1</v>
      </c>
      <c r="L48" s="185">
        <f t="shared" si="15"/>
        <v>1</v>
      </c>
      <c r="M48" s="185">
        <f t="shared" si="15"/>
        <v>1</v>
      </c>
      <c r="N48" s="185">
        <f t="shared" si="15"/>
        <v>1</v>
      </c>
      <c r="O48" s="185">
        <f t="shared" si="15"/>
        <v>1</v>
      </c>
      <c r="P48" s="185">
        <f t="shared" si="15"/>
        <v>1</v>
      </c>
      <c r="Q48" s="185">
        <f t="shared" si="15"/>
        <v>1</v>
      </c>
      <c r="R48" s="185">
        <f t="shared" si="15"/>
        <v>1</v>
      </c>
      <c r="S48" s="185">
        <f t="shared" si="15"/>
        <v>1</v>
      </c>
      <c r="T48" s="185">
        <f t="shared" si="15"/>
        <v>1</v>
      </c>
      <c r="U48" s="185">
        <f t="shared" si="15"/>
        <v>1</v>
      </c>
      <c r="V48" s="185">
        <f t="shared" si="15"/>
        <v>1</v>
      </c>
      <c r="W48" s="185">
        <f t="shared" si="15"/>
        <v>1</v>
      </c>
      <c r="X48" s="185">
        <f t="shared" si="15"/>
        <v>1</v>
      </c>
      <c r="Y48" s="185">
        <f t="shared" si="15"/>
        <v>1</v>
      </c>
      <c r="Z48" s="185">
        <f t="shared" si="15"/>
        <v>1</v>
      </c>
      <c r="AA48" s="185">
        <f t="shared" si="15"/>
        <v>1</v>
      </c>
      <c r="AB48" s="185">
        <f t="shared" si="15"/>
        <v>1</v>
      </c>
      <c r="AC48" s="185">
        <f t="shared" si="15"/>
        <v>1</v>
      </c>
      <c r="AD48" s="185">
        <f t="shared" si="15"/>
        <v>1</v>
      </c>
      <c r="AE48" s="185">
        <f t="shared" si="15"/>
        <v>1</v>
      </c>
      <c r="AF48" s="185">
        <f t="shared" si="15"/>
        <v>1</v>
      </c>
      <c r="AG48" s="185">
        <f t="shared" si="15"/>
        <v>1</v>
      </c>
      <c r="AH48" s="185">
        <f t="shared" si="15"/>
        <v>1</v>
      </c>
      <c r="AI48" s="185">
        <f t="shared" si="15"/>
        <v>1</v>
      </c>
      <c r="AJ48" s="185">
        <f t="shared" si="15"/>
        <v>1</v>
      </c>
      <c r="AK48" s="185">
        <f t="shared" si="15"/>
        <v>1</v>
      </c>
      <c r="AL48" s="185">
        <f t="shared" si="15"/>
        <v>1</v>
      </c>
      <c r="AM48" s="185">
        <f t="shared" si="15"/>
        <v>1</v>
      </c>
      <c r="AN48" s="185">
        <f t="shared" si="15"/>
        <v>1</v>
      </c>
      <c r="AO48" s="185">
        <f t="shared" si="15"/>
        <v>1</v>
      </c>
      <c r="AP48" s="185">
        <f t="shared" si="15"/>
        <v>1</v>
      </c>
    </row>
    <row r="49" spans="1:42">
      <c r="A49" s="185" t="s">
        <v>16</v>
      </c>
      <c r="B49" s="186" t="str">
        <f t="shared" si="12"/>
        <v>NM</v>
      </c>
      <c r="C49" s="186" t="str">
        <f t="shared" si="12"/>
        <v>N.M.M Products</v>
      </c>
      <c r="D49" s="185">
        <v>1</v>
      </c>
      <c r="E49" s="185">
        <v>1</v>
      </c>
      <c r="F49" s="185">
        <v>1</v>
      </c>
      <c r="G49" s="185">
        <v>1</v>
      </c>
      <c r="J49" s="185">
        <f t="shared" ref="J49:AP53" si="16">IF(J$7=-1,K49,IF(J$7=99,I49,IF(J$7=0,INDEX($D49:$G49,0,J$5),(INDEX($D49:$G49,0,J$7+1)-INDEX($D49:$G49,0,J$7))/(INDEX($D$4:$G$4,0,J$7+1)-INDEX($D$4:$G$4,0,J$7))+I49)))</f>
        <v>1</v>
      </c>
      <c r="K49" s="185">
        <f t="shared" si="16"/>
        <v>1</v>
      </c>
      <c r="L49" s="185">
        <f t="shared" si="16"/>
        <v>1</v>
      </c>
      <c r="M49" s="185">
        <f t="shared" si="16"/>
        <v>1</v>
      </c>
      <c r="N49" s="185">
        <f t="shared" si="16"/>
        <v>1</v>
      </c>
      <c r="O49" s="185">
        <f t="shared" si="16"/>
        <v>1</v>
      </c>
      <c r="P49" s="185">
        <f t="shared" si="16"/>
        <v>1</v>
      </c>
      <c r="Q49" s="185">
        <f t="shared" si="16"/>
        <v>1</v>
      </c>
      <c r="R49" s="185">
        <f t="shared" si="16"/>
        <v>1</v>
      </c>
      <c r="S49" s="185">
        <f t="shared" si="16"/>
        <v>1</v>
      </c>
      <c r="T49" s="185">
        <f t="shared" si="16"/>
        <v>1</v>
      </c>
      <c r="U49" s="185">
        <f t="shared" si="16"/>
        <v>1</v>
      </c>
      <c r="V49" s="185">
        <f t="shared" si="16"/>
        <v>1</v>
      </c>
      <c r="W49" s="185">
        <f t="shared" si="16"/>
        <v>1</v>
      </c>
      <c r="X49" s="185">
        <f t="shared" si="16"/>
        <v>1</v>
      </c>
      <c r="Y49" s="185">
        <f t="shared" si="16"/>
        <v>1</v>
      </c>
      <c r="Z49" s="185">
        <f t="shared" si="16"/>
        <v>1</v>
      </c>
      <c r="AA49" s="185">
        <f t="shared" si="16"/>
        <v>1</v>
      </c>
      <c r="AB49" s="185">
        <f t="shared" si="16"/>
        <v>1</v>
      </c>
      <c r="AC49" s="185">
        <f t="shared" si="16"/>
        <v>1</v>
      </c>
      <c r="AD49" s="185">
        <f t="shared" si="16"/>
        <v>1</v>
      </c>
      <c r="AE49" s="185">
        <f t="shared" si="16"/>
        <v>1</v>
      </c>
      <c r="AF49" s="185">
        <f t="shared" si="16"/>
        <v>1</v>
      </c>
      <c r="AG49" s="185">
        <f t="shared" si="16"/>
        <v>1</v>
      </c>
      <c r="AH49" s="185">
        <f t="shared" si="16"/>
        <v>1</v>
      </c>
      <c r="AI49" s="185">
        <f t="shared" si="16"/>
        <v>1</v>
      </c>
      <c r="AJ49" s="185">
        <f t="shared" si="16"/>
        <v>1</v>
      </c>
      <c r="AK49" s="185">
        <f t="shared" si="16"/>
        <v>1</v>
      </c>
      <c r="AL49" s="185">
        <f t="shared" si="16"/>
        <v>1</v>
      </c>
      <c r="AM49" s="185">
        <f t="shared" si="16"/>
        <v>1</v>
      </c>
      <c r="AN49" s="185">
        <f t="shared" si="16"/>
        <v>1</v>
      </c>
      <c r="AO49" s="185">
        <f t="shared" si="16"/>
        <v>1</v>
      </c>
      <c r="AP49" s="185">
        <f t="shared" si="16"/>
        <v>1</v>
      </c>
    </row>
    <row r="50" spans="1:42">
      <c r="A50" s="185" t="s">
        <v>16</v>
      </c>
      <c r="B50" s="186" t="str">
        <f t="shared" si="12"/>
        <v>FB</v>
      </c>
      <c r="C50" s="186" t="str">
        <f t="shared" si="12"/>
        <v>Food, Beverage &amp; Tabacco</v>
      </c>
      <c r="D50" s="185">
        <v>1</v>
      </c>
      <c r="E50" s="185">
        <v>1</v>
      </c>
      <c r="F50" s="185">
        <v>1</v>
      </c>
      <c r="G50" s="185">
        <v>1</v>
      </c>
      <c r="J50" s="185">
        <f t="shared" si="16"/>
        <v>1</v>
      </c>
      <c r="K50" s="185">
        <f t="shared" si="16"/>
        <v>1</v>
      </c>
      <c r="L50" s="185">
        <f t="shared" si="16"/>
        <v>1</v>
      </c>
      <c r="M50" s="185">
        <f t="shared" si="16"/>
        <v>1</v>
      </c>
      <c r="N50" s="185">
        <f t="shared" si="16"/>
        <v>1</v>
      </c>
      <c r="O50" s="185">
        <f t="shared" si="16"/>
        <v>1</v>
      </c>
      <c r="P50" s="185">
        <f t="shared" si="16"/>
        <v>1</v>
      </c>
      <c r="Q50" s="185">
        <f t="shared" si="16"/>
        <v>1</v>
      </c>
      <c r="R50" s="185">
        <f t="shared" si="16"/>
        <v>1</v>
      </c>
      <c r="S50" s="185">
        <f t="shared" si="16"/>
        <v>1</v>
      </c>
      <c r="T50" s="185">
        <f t="shared" si="16"/>
        <v>1</v>
      </c>
      <c r="U50" s="185">
        <f t="shared" si="16"/>
        <v>1</v>
      </c>
      <c r="V50" s="185">
        <f t="shared" si="16"/>
        <v>1</v>
      </c>
      <c r="W50" s="185">
        <f t="shared" si="16"/>
        <v>1</v>
      </c>
      <c r="X50" s="185">
        <f t="shared" si="16"/>
        <v>1</v>
      </c>
      <c r="Y50" s="185">
        <f t="shared" si="16"/>
        <v>1</v>
      </c>
      <c r="Z50" s="185">
        <f t="shared" si="16"/>
        <v>1</v>
      </c>
      <c r="AA50" s="185">
        <f t="shared" si="16"/>
        <v>1</v>
      </c>
      <c r="AB50" s="185">
        <f t="shared" si="16"/>
        <v>1</v>
      </c>
      <c r="AC50" s="185">
        <f t="shared" si="16"/>
        <v>1</v>
      </c>
      <c r="AD50" s="185">
        <f t="shared" si="16"/>
        <v>1</v>
      </c>
      <c r="AE50" s="185">
        <f t="shared" si="16"/>
        <v>1</v>
      </c>
      <c r="AF50" s="185">
        <f t="shared" si="16"/>
        <v>1</v>
      </c>
      <c r="AG50" s="185">
        <f t="shared" si="16"/>
        <v>1</v>
      </c>
      <c r="AH50" s="185">
        <f t="shared" si="16"/>
        <v>1</v>
      </c>
      <c r="AI50" s="185">
        <f t="shared" si="16"/>
        <v>1</v>
      </c>
      <c r="AJ50" s="185">
        <f t="shared" si="16"/>
        <v>1</v>
      </c>
      <c r="AK50" s="185">
        <f t="shared" si="16"/>
        <v>1</v>
      </c>
      <c r="AL50" s="185">
        <f t="shared" si="16"/>
        <v>1</v>
      </c>
      <c r="AM50" s="185">
        <f t="shared" si="16"/>
        <v>1</v>
      </c>
      <c r="AN50" s="185">
        <f t="shared" si="16"/>
        <v>1</v>
      </c>
      <c r="AO50" s="185">
        <f t="shared" si="16"/>
        <v>1</v>
      </c>
      <c r="AP50" s="185">
        <f t="shared" si="16"/>
        <v>1</v>
      </c>
    </row>
    <row r="51" spans="1:42">
      <c r="A51" s="185" t="s">
        <v>16</v>
      </c>
      <c r="B51" s="186" t="str">
        <f t="shared" si="12"/>
        <v>PP</v>
      </c>
      <c r="C51" s="186" t="str">
        <f t="shared" si="12"/>
        <v>Pulp &amp; Paper Products</v>
      </c>
      <c r="D51" s="185">
        <v>1</v>
      </c>
      <c r="E51" s="185">
        <v>1</v>
      </c>
      <c r="F51" s="185">
        <v>1</v>
      </c>
      <c r="G51" s="185">
        <v>1</v>
      </c>
      <c r="J51" s="185">
        <f t="shared" si="16"/>
        <v>1</v>
      </c>
      <c r="K51" s="185">
        <f t="shared" si="16"/>
        <v>1</v>
      </c>
      <c r="L51" s="185">
        <f t="shared" si="16"/>
        <v>1</v>
      </c>
      <c r="M51" s="185">
        <f t="shared" si="16"/>
        <v>1</v>
      </c>
      <c r="N51" s="185">
        <f t="shared" si="16"/>
        <v>1</v>
      </c>
      <c r="O51" s="185">
        <f t="shared" si="16"/>
        <v>1</v>
      </c>
      <c r="P51" s="185">
        <f t="shared" si="16"/>
        <v>1</v>
      </c>
      <c r="Q51" s="185">
        <f t="shared" si="16"/>
        <v>1</v>
      </c>
      <c r="R51" s="185">
        <f t="shared" si="16"/>
        <v>1</v>
      </c>
      <c r="S51" s="185">
        <f t="shared" si="16"/>
        <v>1</v>
      </c>
      <c r="T51" s="185">
        <f t="shared" si="16"/>
        <v>1</v>
      </c>
      <c r="U51" s="185">
        <f t="shared" si="16"/>
        <v>1</v>
      </c>
      <c r="V51" s="185">
        <f t="shared" si="16"/>
        <v>1</v>
      </c>
      <c r="W51" s="185">
        <f t="shared" si="16"/>
        <v>1</v>
      </c>
      <c r="X51" s="185">
        <f t="shared" si="16"/>
        <v>1</v>
      </c>
      <c r="Y51" s="185">
        <f t="shared" si="16"/>
        <v>1</v>
      </c>
      <c r="Z51" s="185">
        <f t="shared" si="16"/>
        <v>1</v>
      </c>
      <c r="AA51" s="185">
        <f t="shared" si="16"/>
        <v>1</v>
      </c>
      <c r="AB51" s="185">
        <f t="shared" si="16"/>
        <v>1</v>
      </c>
      <c r="AC51" s="185">
        <f t="shared" si="16"/>
        <v>1</v>
      </c>
      <c r="AD51" s="185">
        <f t="shared" si="16"/>
        <v>1</v>
      </c>
      <c r="AE51" s="185">
        <f t="shared" si="16"/>
        <v>1</v>
      </c>
      <c r="AF51" s="185">
        <f t="shared" si="16"/>
        <v>1</v>
      </c>
      <c r="AG51" s="185">
        <f t="shared" si="16"/>
        <v>1</v>
      </c>
      <c r="AH51" s="185">
        <f t="shared" si="16"/>
        <v>1</v>
      </c>
      <c r="AI51" s="185">
        <f t="shared" si="16"/>
        <v>1</v>
      </c>
      <c r="AJ51" s="185">
        <f t="shared" si="16"/>
        <v>1</v>
      </c>
      <c r="AK51" s="185">
        <f t="shared" si="16"/>
        <v>1</v>
      </c>
      <c r="AL51" s="185">
        <f t="shared" si="16"/>
        <v>1</v>
      </c>
      <c r="AM51" s="185">
        <f t="shared" si="16"/>
        <v>1</v>
      </c>
      <c r="AN51" s="185">
        <f t="shared" si="16"/>
        <v>1</v>
      </c>
      <c r="AO51" s="185">
        <f t="shared" si="16"/>
        <v>1</v>
      </c>
      <c r="AP51" s="185">
        <f t="shared" si="16"/>
        <v>1</v>
      </c>
    </row>
    <row r="52" spans="1:42">
      <c r="A52" s="185" t="s">
        <v>16</v>
      </c>
      <c r="B52" s="186" t="str">
        <f t="shared" si="12"/>
        <v>PP</v>
      </c>
      <c r="C52" s="186" t="str">
        <f t="shared" si="12"/>
        <v>Pulp &amp; Paper Products</v>
      </c>
      <c r="D52" s="185">
        <v>1</v>
      </c>
      <c r="E52" s="185">
        <v>1</v>
      </c>
      <c r="F52" s="185">
        <v>1</v>
      </c>
      <c r="G52" s="185">
        <v>1</v>
      </c>
      <c r="J52" s="185">
        <f t="shared" si="16"/>
        <v>1</v>
      </c>
      <c r="K52" s="185">
        <f t="shared" si="16"/>
        <v>1</v>
      </c>
      <c r="L52" s="185">
        <f t="shared" si="16"/>
        <v>1</v>
      </c>
      <c r="M52" s="185">
        <f t="shared" si="16"/>
        <v>1</v>
      </c>
      <c r="N52" s="185">
        <f t="shared" si="16"/>
        <v>1</v>
      </c>
      <c r="O52" s="185">
        <f t="shared" si="16"/>
        <v>1</v>
      </c>
      <c r="P52" s="185">
        <f t="shared" si="16"/>
        <v>1</v>
      </c>
      <c r="Q52" s="185">
        <f t="shared" si="16"/>
        <v>1</v>
      </c>
      <c r="R52" s="185">
        <f t="shared" si="16"/>
        <v>1</v>
      </c>
      <c r="S52" s="185">
        <f t="shared" si="16"/>
        <v>1</v>
      </c>
      <c r="T52" s="185">
        <f t="shared" si="16"/>
        <v>1</v>
      </c>
      <c r="U52" s="185">
        <f t="shared" si="16"/>
        <v>1</v>
      </c>
      <c r="V52" s="185">
        <f t="shared" si="16"/>
        <v>1</v>
      </c>
      <c r="W52" s="185">
        <f t="shared" si="16"/>
        <v>1</v>
      </c>
      <c r="X52" s="185">
        <f t="shared" si="16"/>
        <v>1</v>
      </c>
      <c r="Y52" s="185">
        <f t="shared" si="16"/>
        <v>1</v>
      </c>
      <c r="Z52" s="185">
        <f t="shared" si="16"/>
        <v>1</v>
      </c>
      <c r="AA52" s="185">
        <f t="shared" si="16"/>
        <v>1</v>
      </c>
      <c r="AB52" s="185">
        <f t="shared" si="16"/>
        <v>1</v>
      </c>
      <c r="AC52" s="185">
        <f t="shared" si="16"/>
        <v>1</v>
      </c>
      <c r="AD52" s="185">
        <f t="shared" si="16"/>
        <v>1</v>
      </c>
      <c r="AE52" s="185">
        <f t="shared" si="16"/>
        <v>1</v>
      </c>
      <c r="AF52" s="185">
        <f t="shared" si="16"/>
        <v>1</v>
      </c>
      <c r="AG52" s="185">
        <f t="shared" si="16"/>
        <v>1</v>
      </c>
      <c r="AH52" s="185">
        <f t="shared" si="16"/>
        <v>1</v>
      </c>
      <c r="AI52" s="185">
        <f t="shared" si="16"/>
        <v>1</v>
      </c>
      <c r="AJ52" s="185">
        <f t="shared" si="16"/>
        <v>1</v>
      </c>
      <c r="AK52" s="185">
        <f t="shared" si="16"/>
        <v>1</v>
      </c>
      <c r="AL52" s="185">
        <f t="shared" si="16"/>
        <v>1</v>
      </c>
      <c r="AM52" s="185">
        <f t="shared" si="16"/>
        <v>1</v>
      </c>
      <c r="AN52" s="185">
        <f t="shared" si="16"/>
        <v>1</v>
      </c>
      <c r="AO52" s="185">
        <f t="shared" si="16"/>
        <v>1</v>
      </c>
      <c r="AP52" s="185">
        <f t="shared" si="16"/>
        <v>1</v>
      </c>
    </row>
    <row r="53" spans="1:42">
      <c r="A53" s="185" t="s">
        <v>16</v>
      </c>
      <c r="B53" s="186" t="str">
        <f>B22</f>
        <v>OT</v>
      </c>
      <c r="C53" s="186" t="str">
        <f>C22</f>
        <v>Other</v>
      </c>
      <c r="D53" s="185">
        <v>1</v>
      </c>
      <c r="E53" s="185">
        <v>1</v>
      </c>
      <c r="F53" s="185">
        <v>1</v>
      </c>
      <c r="G53" s="185">
        <v>1</v>
      </c>
      <c r="J53" s="185">
        <f t="shared" si="16"/>
        <v>1</v>
      </c>
      <c r="K53" s="185">
        <f t="shared" si="16"/>
        <v>1</v>
      </c>
      <c r="L53" s="185">
        <f t="shared" si="16"/>
        <v>1</v>
      </c>
      <c r="M53" s="185">
        <f t="shared" si="16"/>
        <v>1</v>
      </c>
      <c r="N53" s="185">
        <f t="shared" si="16"/>
        <v>1</v>
      </c>
      <c r="O53" s="185">
        <f t="shared" si="16"/>
        <v>1</v>
      </c>
      <c r="P53" s="185">
        <f t="shared" si="16"/>
        <v>1</v>
      </c>
      <c r="Q53" s="185">
        <f t="shared" si="16"/>
        <v>1</v>
      </c>
      <c r="R53" s="185">
        <f t="shared" si="16"/>
        <v>1</v>
      </c>
      <c r="S53" s="185">
        <f t="shared" si="16"/>
        <v>1</v>
      </c>
      <c r="T53" s="185">
        <f t="shared" si="16"/>
        <v>1</v>
      </c>
      <c r="U53" s="185">
        <f t="shared" si="16"/>
        <v>1</v>
      </c>
      <c r="V53" s="185">
        <f t="shared" si="16"/>
        <v>1</v>
      </c>
      <c r="W53" s="185">
        <f t="shared" si="16"/>
        <v>1</v>
      </c>
      <c r="X53" s="185">
        <f t="shared" si="16"/>
        <v>1</v>
      </c>
      <c r="Y53" s="185">
        <f t="shared" si="16"/>
        <v>1</v>
      </c>
      <c r="Z53" s="185">
        <f t="shared" si="16"/>
        <v>1</v>
      </c>
      <c r="AA53" s="185">
        <f t="shared" si="16"/>
        <v>1</v>
      </c>
      <c r="AB53" s="185">
        <f t="shared" si="16"/>
        <v>1</v>
      </c>
      <c r="AC53" s="185">
        <f t="shared" si="16"/>
        <v>1</v>
      </c>
      <c r="AD53" s="185">
        <f t="shared" si="16"/>
        <v>1</v>
      </c>
      <c r="AE53" s="185">
        <f t="shared" si="16"/>
        <v>1</v>
      </c>
      <c r="AF53" s="185">
        <f t="shared" si="16"/>
        <v>1</v>
      </c>
      <c r="AG53" s="185">
        <f t="shared" si="16"/>
        <v>1</v>
      </c>
      <c r="AH53" s="185">
        <f t="shared" si="16"/>
        <v>1</v>
      </c>
      <c r="AI53" s="185">
        <f t="shared" si="16"/>
        <v>1</v>
      </c>
      <c r="AJ53" s="185">
        <f t="shared" si="16"/>
        <v>1</v>
      </c>
      <c r="AK53" s="185">
        <f t="shared" si="16"/>
        <v>1</v>
      </c>
      <c r="AL53" s="185">
        <f t="shared" si="16"/>
        <v>1</v>
      </c>
      <c r="AM53" s="185">
        <f t="shared" si="16"/>
        <v>1</v>
      </c>
      <c r="AN53" s="185">
        <f t="shared" si="16"/>
        <v>1</v>
      </c>
      <c r="AO53" s="185">
        <f t="shared" si="16"/>
        <v>1</v>
      </c>
      <c r="AP53" s="185">
        <f t="shared" si="16"/>
        <v>1</v>
      </c>
    </row>
    <row r="54" spans="1:42">
      <c r="A54" s="185" t="s">
        <v>16</v>
      </c>
      <c r="B54" s="186"/>
    </row>
    <row r="55" spans="1:42" ht="15.75" thickBot="1">
      <c r="A55" s="185" t="s">
        <v>16</v>
      </c>
      <c r="B55" s="14" t="s">
        <v>289</v>
      </c>
      <c r="C55" s="14"/>
    </row>
    <row r="56" spans="1:42">
      <c r="A56" s="185" t="s">
        <v>16</v>
      </c>
      <c r="B56" s="186" t="s">
        <v>107</v>
      </c>
      <c r="C56" s="186" t="s">
        <v>108</v>
      </c>
    </row>
    <row r="57" spans="1:42">
      <c r="A57" s="185" t="s">
        <v>16</v>
      </c>
      <c r="B57" s="186" t="s">
        <v>109</v>
      </c>
      <c r="C57" s="186" t="s">
        <v>110</v>
      </c>
    </row>
    <row r="58" spans="1:42">
      <c r="A58" s="185" t="s">
        <v>16</v>
      </c>
      <c r="B58" s="186" t="s">
        <v>111</v>
      </c>
      <c r="C58" s="186" t="s">
        <v>73</v>
      </c>
    </row>
    <row r="59" spans="1:42">
      <c r="A59" s="185" t="s">
        <v>16</v>
      </c>
      <c r="B59" s="186" t="s">
        <v>112</v>
      </c>
      <c r="C59" s="186" t="s">
        <v>72</v>
      </c>
    </row>
    <row r="60" spans="1:42">
      <c r="A60" s="185" t="s">
        <v>16</v>
      </c>
      <c r="B60" s="186" t="s">
        <v>113</v>
      </c>
      <c r="C60" s="186" t="s">
        <v>114</v>
      </c>
    </row>
    <row r="61" spans="1:42">
      <c r="A61" s="185" t="s">
        <v>16</v>
      </c>
      <c r="B61" s="186" t="s">
        <v>115</v>
      </c>
      <c r="C61" s="186" t="s">
        <v>116</v>
      </c>
    </row>
    <row r="62" spans="1:42">
      <c r="A62" s="185" t="s">
        <v>16</v>
      </c>
      <c r="B62" s="186" t="s">
        <v>117</v>
      </c>
      <c r="C62" s="186" t="s">
        <v>118</v>
      </c>
    </row>
    <row r="63" spans="1:42">
      <c r="A63" s="185" t="s">
        <v>16</v>
      </c>
      <c r="B63" s="186" t="s">
        <v>119</v>
      </c>
      <c r="C63" s="186" t="s">
        <v>120</v>
      </c>
    </row>
    <row r="64" spans="1:42">
      <c r="A64" s="185" t="s">
        <v>16</v>
      </c>
      <c r="B64" s="186" t="s">
        <v>37</v>
      </c>
      <c r="C64" s="186" t="s">
        <v>121</v>
      </c>
    </row>
    <row r="65" spans="1:48">
      <c r="A65" s="185" t="s">
        <v>16</v>
      </c>
      <c r="B65" s="186" t="s">
        <v>122</v>
      </c>
      <c r="C65" s="186" t="s">
        <v>123</v>
      </c>
    </row>
    <row r="66" spans="1:48">
      <c r="A66" s="185" t="s">
        <v>16</v>
      </c>
      <c r="B66" s="186" t="s">
        <v>221</v>
      </c>
      <c r="C66" s="186" t="s">
        <v>220</v>
      </c>
    </row>
    <row r="67" spans="1:48">
      <c r="A67" s="185" t="s">
        <v>16</v>
      </c>
      <c r="B67" s="186" t="s">
        <v>124</v>
      </c>
      <c r="C67" s="186" t="s">
        <v>2</v>
      </c>
      <c r="P67" s="185" t="str">
        <f>ADDRESS(ROW(),1)</f>
        <v>$A$67</v>
      </c>
    </row>
    <row r="68" spans="1:48">
      <c r="A68" s="185" t="s">
        <v>16</v>
      </c>
      <c r="B68" s="186"/>
      <c r="C68" s="186"/>
      <c r="P68" s="185" t="str">
        <f ca="1">INDIRECT(P67)</f>
        <v>*</v>
      </c>
    </row>
    <row r="69" spans="1:48" ht="23.25">
      <c r="A69" s="185" t="s">
        <v>16</v>
      </c>
      <c r="B69" s="16" t="s">
        <v>18</v>
      </c>
      <c r="C69" s="16" t="s">
        <v>19</v>
      </c>
      <c r="D69" s="16" t="s">
        <v>20</v>
      </c>
      <c r="E69" s="16" t="s">
        <v>21</v>
      </c>
      <c r="F69" s="16" t="s">
        <v>22</v>
      </c>
      <c r="G69" s="16" t="s">
        <v>23</v>
      </c>
      <c r="H69" s="16" t="s">
        <v>24</v>
      </c>
      <c r="I69" s="17" t="s">
        <v>25</v>
      </c>
      <c r="J69" s="5">
        <f>J3</f>
        <v>2012</v>
      </c>
      <c r="K69" s="5">
        <f t="shared" ref="K69:AP69" si="17">K3</f>
        <v>2013</v>
      </c>
      <c r="L69" s="5">
        <f t="shared" si="17"/>
        <v>2014</v>
      </c>
      <c r="M69" s="5">
        <f t="shared" si="17"/>
        <v>2015</v>
      </c>
      <c r="N69" s="5">
        <f t="shared" si="17"/>
        <v>2016</v>
      </c>
      <c r="O69" s="5">
        <f t="shared" si="17"/>
        <v>2017</v>
      </c>
      <c r="P69" s="5">
        <f t="shared" si="17"/>
        <v>2018</v>
      </c>
      <c r="Q69" s="5">
        <f t="shared" si="17"/>
        <v>2019</v>
      </c>
      <c r="R69" s="5">
        <f t="shared" si="17"/>
        <v>2020</v>
      </c>
      <c r="S69" s="5">
        <f t="shared" si="17"/>
        <v>2021</v>
      </c>
      <c r="T69" s="5">
        <f t="shared" si="17"/>
        <v>2022</v>
      </c>
      <c r="U69" s="5">
        <f t="shared" si="17"/>
        <v>2023</v>
      </c>
      <c r="V69" s="5">
        <f t="shared" si="17"/>
        <v>2024</v>
      </c>
      <c r="W69" s="5">
        <f t="shared" si="17"/>
        <v>2025</v>
      </c>
      <c r="X69" s="5">
        <f t="shared" si="17"/>
        <v>2026</v>
      </c>
      <c r="Y69" s="5">
        <f t="shared" si="17"/>
        <v>2027</v>
      </c>
      <c r="Z69" s="5">
        <f t="shared" si="17"/>
        <v>2028</v>
      </c>
      <c r="AA69" s="5">
        <f t="shared" si="17"/>
        <v>2029</v>
      </c>
      <c r="AB69" s="5">
        <f t="shared" si="17"/>
        <v>2030</v>
      </c>
      <c r="AC69" s="5">
        <f t="shared" si="17"/>
        <v>2031</v>
      </c>
      <c r="AD69" s="5">
        <f t="shared" si="17"/>
        <v>2032</v>
      </c>
      <c r="AE69" s="5">
        <f t="shared" si="17"/>
        <v>2033</v>
      </c>
      <c r="AF69" s="5">
        <f t="shared" si="17"/>
        <v>2034</v>
      </c>
      <c r="AG69" s="5">
        <f t="shared" si="17"/>
        <v>2035</v>
      </c>
      <c r="AH69" s="5">
        <f t="shared" si="17"/>
        <v>2036</v>
      </c>
      <c r="AI69" s="5">
        <f t="shared" si="17"/>
        <v>2037</v>
      </c>
      <c r="AJ69" s="5">
        <f t="shared" si="17"/>
        <v>2038</v>
      </c>
      <c r="AK69" s="5">
        <f t="shared" si="17"/>
        <v>2039</v>
      </c>
      <c r="AL69" s="5">
        <f t="shared" si="17"/>
        <v>2040</v>
      </c>
      <c r="AM69" s="5">
        <f t="shared" si="17"/>
        <v>2045</v>
      </c>
      <c r="AN69" s="5">
        <f t="shared" si="17"/>
        <v>2050</v>
      </c>
      <c r="AO69" s="5">
        <f t="shared" si="17"/>
        <v>2060</v>
      </c>
      <c r="AP69" s="5">
        <f t="shared" si="17"/>
        <v>2070</v>
      </c>
      <c r="AQ69" s="5"/>
      <c r="AR69" s="5"/>
      <c r="AS69" s="5"/>
      <c r="AT69" s="5"/>
      <c r="AU69" s="5"/>
      <c r="AV69" s="5"/>
    </row>
    <row r="70" spans="1:48" s="5" customFormat="1">
      <c r="A70" s="5" t="s">
        <v>16</v>
      </c>
      <c r="B70" s="5">
        <v>1</v>
      </c>
      <c r="C70" s="3" t="str">
        <f ca="1">OFFSET($C$9,$B70,0)</f>
        <v>Mining</v>
      </c>
      <c r="D70" s="3" t="str">
        <f ca="1">OFFSET($B$9,$B70,0)</f>
        <v>MI</v>
      </c>
      <c r="J70" s="5">
        <f ca="1">SUMIF($B$10:$B$22,$D70,J$10:J$22)*SUMIF($B$10:$B$22,$D70,J$41:J$53)</f>
        <v>205.45</v>
      </c>
      <c r="K70" s="5">
        <f t="shared" ref="K70:AP70" ca="1" si="18">SUMIF($B$10:$B$22,$D70,K$10:K$22)*SUMIF($B$10:$B$22,$D70,K$41:K$53)</f>
        <v>210.86988629307734</v>
      </c>
      <c r="L70" s="5">
        <f t="shared" ca="1" si="18"/>
        <v>211.24866956405555</v>
      </c>
      <c r="M70" s="5">
        <f t="shared" ca="1" si="18"/>
        <v>216.61729950836565</v>
      </c>
      <c r="N70" s="5">
        <f t="shared" ca="1" si="18"/>
        <v>213.31726632700344</v>
      </c>
      <c r="O70" s="5">
        <f t="shared" ca="1" si="18"/>
        <v>218.82609150127786</v>
      </c>
      <c r="P70" s="5">
        <f t="shared" ca="1" si="18"/>
        <v>217.18491007226137</v>
      </c>
      <c r="Q70" s="5">
        <f t="shared" ca="1" si="18"/>
        <v>214.12495741645964</v>
      </c>
      <c r="R70" s="5">
        <f t="shared" ca="1" si="18"/>
        <v>197.32920953367039</v>
      </c>
      <c r="S70" s="5">
        <f t="shared" ca="1" si="18"/>
        <v>201.62328585897183</v>
      </c>
      <c r="T70" s="5">
        <f t="shared" ca="1" si="18"/>
        <v>205.28801710584895</v>
      </c>
      <c r="U70" s="5">
        <f t="shared" ca="1" si="18"/>
        <v>208.79104588165885</v>
      </c>
      <c r="V70" s="5">
        <f t="shared" ca="1" si="18"/>
        <v>212.19230403738999</v>
      </c>
      <c r="W70" s="5">
        <f t="shared" ca="1" si="18"/>
        <v>216.51447300921558</v>
      </c>
      <c r="X70" s="5">
        <f t="shared" ca="1" si="18"/>
        <v>222.77742218119039</v>
      </c>
      <c r="Y70" s="5">
        <f t="shared" ca="1" si="18"/>
        <v>229.51958722981831</v>
      </c>
      <c r="Z70" s="5">
        <f t="shared" ca="1" si="18"/>
        <v>236.74667443477483</v>
      </c>
      <c r="AA70" s="5">
        <f t="shared" ca="1" si="18"/>
        <v>243.28355685996493</v>
      </c>
      <c r="AB70" s="5">
        <f t="shared" ca="1" si="18"/>
        <v>250.72317151617941</v>
      </c>
      <c r="AC70" s="5">
        <f t="shared" ca="1" si="18"/>
        <v>256.74924620871866</v>
      </c>
      <c r="AD70" s="5">
        <f t="shared" ca="1" si="18"/>
        <v>262.33725518779312</v>
      </c>
      <c r="AE70" s="5">
        <f t="shared" ca="1" si="18"/>
        <v>268.28853817315542</v>
      </c>
      <c r="AF70" s="5">
        <f t="shared" ca="1" si="18"/>
        <v>274.49624986883856</v>
      </c>
      <c r="AG70" s="5">
        <f t="shared" ca="1" si="18"/>
        <v>280.82149139008538</v>
      </c>
      <c r="AH70" s="5">
        <f t="shared" ca="1" si="18"/>
        <v>287.80917374632764</v>
      </c>
      <c r="AI70" s="5">
        <f t="shared" ca="1" si="18"/>
        <v>295.07465387208418</v>
      </c>
      <c r="AJ70" s="5">
        <f t="shared" ca="1" si="18"/>
        <v>302.35081852743735</v>
      </c>
      <c r="AK70" s="5">
        <f t="shared" ca="1" si="18"/>
        <v>309.9047809523048</v>
      </c>
      <c r="AL70" s="5">
        <f t="shared" ca="1" si="18"/>
        <v>317.99296985700727</v>
      </c>
      <c r="AM70" s="5">
        <f t="shared" ca="1" si="18"/>
        <v>357.19450894730221</v>
      </c>
      <c r="AN70" s="5">
        <f t="shared" ca="1" si="18"/>
        <v>406.0121246746279</v>
      </c>
      <c r="AO70" s="5">
        <f t="shared" ca="1" si="18"/>
        <v>492.42860005274451</v>
      </c>
      <c r="AP70" s="5">
        <f t="shared" ca="1" si="18"/>
        <v>580.44775487036623</v>
      </c>
    </row>
    <row r="71" spans="1:48">
      <c r="A71" s="57" t="str">
        <f>'[4]TS BYDem'!A10</f>
        <v/>
      </c>
      <c r="B71" s="185" t="s">
        <v>288</v>
      </c>
      <c r="C71" s="185" t="s">
        <v>137</v>
      </c>
      <c r="D71" s="185" t="str">
        <f>'[4]TS BYDem'!D10</f>
        <v>IMIK</v>
      </c>
      <c r="E71" s="185" t="s">
        <v>137</v>
      </c>
      <c r="F71" s="185" t="s">
        <v>137</v>
      </c>
      <c r="G71" s="185" t="s">
        <v>137</v>
      </c>
      <c r="H71" s="185" t="s">
        <v>137</v>
      </c>
      <c r="I71" s="185">
        <v>0</v>
      </c>
      <c r="J71" s="185">
        <f>INDEX('[4]TS BYDem'!$J$10:$J$203,MATCH(D71,'[4]TS BYDem'!$D$10:$D$203,0))</f>
        <v>2.1376388478991801</v>
      </c>
      <c r="K71" s="185">
        <f t="shared" ref="K71:Z86" ca="1" si="19">K$70/J$70*J71</f>
        <v>2.1940309602928449</v>
      </c>
      <c r="L71" s="185">
        <f t="shared" ca="1" si="19"/>
        <v>2.1979720741160493</v>
      </c>
      <c r="M71" s="192">
        <f>O71</f>
        <v>2.2014400000000003</v>
      </c>
      <c r="N71" s="192">
        <f>O71</f>
        <v>2.2014400000000003</v>
      </c>
      <c r="O71" s="192">
        <f>INDEX('[4]TS BYDem'!$O$10:$O$203,MATCH(D71,'[4]TS BYDem'!$D$10:$D$203,0))</f>
        <v>2.2014400000000003</v>
      </c>
      <c r="P71" s="185">
        <f t="shared" ca="1" si="19"/>
        <v>2.1849293434310924</v>
      </c>
      <c r="Q71" s="185">
        <f t="shared" ca="1" si="19"/>
        <v>2.1541455272582901</v>
      </c>
      <c r="R71" s="185">
        <f t="shared" ca="1" si="19"/>
        <v>1.9851765027447228</v>
      </c>
      <c r="S71" s="185">
        <f t="shared" ca="1" si="19"/>
        <v>2.0283758823100992</v>
      </c>
      <c r="T71" s="185">
        <f t="shared" ca="1" si="19"/>
        <v>2.0652439079681733</v>
      </c>
      <c r="U71" s="185">
        <f t="shared" ca="1" si="19"/>
        <v>2.1004851701746681</v>
      </c>
      <c r="V71" s="185">
        <f t="shared" ca="1" si="19"/>
        <v>2.1347025969128732</v>
      </c>
      <c r="W71" s="185">
        <f t="shared" ca="1" si="19"/>
        <v>2.1781845948595406</v>
      </c>
      <c r="X71" s="185">
        <f t="shared" ca="1" si="19"/>
        <v>2.241191280810753</v>
      </c>
      <c r="Y71" s="185">
        <f t="shared" ca="1" si="19"/>
        <v>2.3090189869257927</v>
      </c>
      <c r="Z71" s="185">
        <f t="shared" ca="1" si="19"/>
        <v>2.381725119669504</v>
      </c>
      <c r="AA71" s="185">
        <f t="shared" ref="AA71:AP86" ca="1" si="20">AA$70/Z$70*Z71</f>
        <v>2.4474876361380966</v>
      </c>
      <c r="AB71" s="185">
        <f t="shared" ca="1" si="20"/>
        <v>2.5223318431356025</v>
      </c>
      <c r="AC71" s="185">
        <f t="shared" ca="1" si="20"/>
        <v>2.5829555182199155</v>
      </c>
      <c r="AD71" s="185">
        <f t="shared" ca="1" si="20"/>
        <v>2.6391721530941981</v>
      </c>
      <c r="AE71" s="185">
        <f t="shared" ca="1" si="20"/>
        <v>2.699043406679237</v>
      </c>
      <c r="AF71" s="185">
        <f t="shared" ca="1" si="20"/>
        <v>2.7614943911189282</v>
      </c>
      <c r="AG71" s="185">
        <f t="shared" ca="1" si="20"/>
        <v>2.8251277522003346</v>
      </c>
      <c r="AH71" s="185">
        <f t="shared" ca="1" si="20"/>
        <v>2.8954254179895909</v>
      </c>
      <c r="AI71" s="185">
        <f t="shared" ca="1" si="20"/>
        <v>2.9685177922047199</v>
      </c>
      <c r="AJ71" s="185">
        <f t="shared" ca="1" si="20"/>
        <v>3.041717655205459</v>
      </c>
      <c r="AK71" s="185">
        <f t="shared" ca="1" si="20"/>
        <v>3.1177122266320714</v>
      </c>
      <c r="AL71" s="185">
        <f t="shared" ca="1" si="20"/>
        <v>3.1990812373392075</v>
      </c>
      <c r="AM71" s="185">
        <f t="shared" ca="1" si="20"/>
        <v>3.5934575917440705</v>
      </c>
      <c r="AN71" s="185">
        <f t="shared" ca="1" si="20"/>
        <v>4.0845738531983695</v>
      </c>
      <c r="AO71" s="185">
        <f t="shared" ca="1" si="20"/>
        <v>4.9539431512159702</v>
      </c>
      <c r="AP71" s="185">
        <f t="shared" ca="1" si="20"/>
        <v>5.8394357670751429</v>
      </c>
    </row>
    <row r="72" spans="1:48">
      <c r="A72" s="57" t="str">
        <f>'[4]TS BYDem'!A11</f>
        <v/>
      </c>
      <c r="B72" s="185" t="s">
        <v>288</v>
      </c>
      <c r="C72" s="185" t="s">
        <v>137</v>
      </c>
      <c r="D72" s="185" t="str">
        <f>'[4]TS BYDem'!D11</f>
        <v>IMIA</v>
      </c>
      <c r="E72" s="185" t="s">
        <v>137</v>
      </c>
      <c r="F72" s="185" t="s">
        <v>137</v>
      </c>
      <c r="G72" s="185" t="s">
        <v>137</v>
      </c>
      <c r="H72" s="185" t="s">
        <v>137</v>
      </c>
      <c r="I72" s="185">
        <v>0</v>
      </c>
      <c r="J72" s="185">
        <f>INDEX('[4]TS BYDem'!$J$10:$J$203,MATCH(D72,'[4]TS BYDem'!$D$10:$D$203,0))</f>
        <v>0.99318058118269725</v>
      </c>
      <c r="K72" s="185">
        <f t="shared" ca="1" si="19"/>
        <v>1.0193812422608317</v>
      </c>
      <c r="L72" s="185">
        <f t="shared" ca="1" si="19"/>
        <v>1.0212123456398166</v>
      </c>
      <c r="M72" s="192">
        <f t="shared" ref="M72:M79" si="21">O72</f>
        <v>1.0228235984706235</v>
      </c>
      <c r="N72" s="192">
        <f t="shared" ref="N72:N81" si="22">O72</f>
        <v>1.0228235984706235</v>
      </c>
      <c r="O72" s="192">
        <f>INDEX('[4]TS BYDem'!$O$10:$O$203,MATCH(D72,'[4]TS BYDem'!$D$10:$D$203,0))</f>
        <v>1.0228235984706235</v>
      </c>
      <c r="P72" s="185">
        <f t="shared" ca="1" si="19"/>
        <v>1.0151524881224319</v>
      </c>
      <c r="Q72" s="185">
        <f t="shared" ca="1" si="19"/>
        <v>1.000849843656753</v>
      </c>
      <c r="R72" s="185">
        <f t="shared" ca="1" si="19"/>
        <v>0.92234418114356254</v>
      </c>
      <c r="S72" s="185">
        <f t="shared" ca="1" si="19"/>
        <v>0.94241529135267876</v>
      </c>
      <c r="T72" s="185">
        <f t="shared" ca="1" si="19"/>
        <v>0.95954475510008885</v>
      </c>
      <c r="U72" s="185">
        <f t="shared" ca="1" si="19"/>
        <v>0.97591839899894306</v>
      </c>
      <c r="V72" s="185">
        <f t="shared" ca="1" si="19"/>
        <v>0.9918163528594961</v>
      </c>
      <c r="W72" s="185">
        <f t="shared" ca="1" si="19"/>
        <v>1.0120187720071914</v>
      </c>
      <c r="X72" s="185">
        <f t="shared" ca="1" si="19"/>
        <v>1.0412926678446102</v>
      </c>
      <c r="Y72" s="185">
        <f t="shared" ca="1" si="19"/>
        <v>1.0728064853661383</v>
      </c>
      <c r="Z72" s="185">
        <f t="shared" ca="1" si="19"/>
        <v>1.106586896516933</v>
      </c>
      <c r="AA72" s="185">
        <f t="shared" ca="1" si="20"/>
        <v>1.1371411944941159</v>
      </c>
      <c r="AB72" s="185">
        <f t="shared" ca="1" si="20"/>
        <v>1.1719149885225106</v>
      </c>
      <c r="AC72" s="185">
        <f t="shared" ca="1" si="20"/>
        <v>1.2000817000850563</v>
      </c>
      <c r="AD72" s="185">
        <f t="shared" ca="1" si="20"/>
        <v>1.226200831551743</v>
      </c>
      <c r="AE72" s="185">
        <f t="shared" ca="1" si="20"/>
        <v>1.2540179562686542</v>
      </c>
      <c r="AF72" s="185">
        <f t="shared" ca="1" si="20"/>
        <v>1.2830336644563121</v>
      </c>
      <c r="AG72" s="185">
        <f t="shared" ca="1" si="20"/>
        <v>1.3125987234013954</v>
      </c>
      <c r="AH72" s="185">
        <f t="shared" ca="1" si="20"/>
        <v>1.3452601229792409</v>
      </c>
      <c r="AI72" s="185">
        <f t="shared" ca="1" si="20"/>
        <v>1.3792199879837288</v>
      </c>
      <c r="AJ72" s="185">
        <f t="shared" ca="1" si="20"/>
        <v>1.4132297939661642</v>
      </c>
      <c r="AK72" s="185">
        <f t="shared" ca="1" si="20"/>
        <v>1.448538065375242</v>
      </c>
      <c r="AL72" s="185">
        <f t="shared" ca="1" si="20"/>
        <v>1.4863433856817083</v>
      </c>
      <c r="AM72" s="185">
        <f t="shared" ca="1" si="20"/>
        <v>1.669576833772098</v>
      </c>
      <c r="AN72" s="185">
        <f t="shared" ca="1" si="20"/>
        <v>1.8977571620154867</v>
      </c>
      <c r="AO72" s="185">
        <f t="shared" ca="1" si="20"/>
        <v>2.3016797916571039</v>
      </c>
      <c r="AP72" s="185">
        <f t="shared" ca="1" si="20"/>
        <v>2.7130935679908874</v>
      </c>
    </row>
    <row r="73" spans="1:48">
      <c r="A73" s="57" t="str">
        <f>'[4]TS BYDem'!A12</f>
        <v/>
      </c>
      <c r="B73" s="185" t="s">
        <v>288</v>
      </c>
      <c r="C73" s="185" t="s">
        <v>137</v>
      </c>
      <c r="D73" s="185" t="str">
        <f>'[4]TS BYDem'!D12</f>
        <v>IMIL</v>
      </c>
      <c r="E73" s="185" t="s">
        <v>137</v>
      </c>
      <c r="F73" s="185" t="s">
        <v>137</v>
      </c>
      <c r="G73" s="185" t="s">
        <v>137</v>
      </c>
      <c r="H73" s="185" t="s">
        <v>137</v>
      </c>
      <c r="I73" s="185">
        <v>0</v>
      </c>
      <c r="J73" s="185">
        <f>INDEX('[4]TS BYDem'!$J$10:$J$203,MATCH(D73,'[4]TS BYDem'!$D$10:$D$203,0))</f>
        <v>1.4429062223319464</v>
      </c>
      <c r="K73" s="185">
        <f t="shared" ca="1" si="19"/>
        <v>1.4809708981976701</v>
      </c>
      <c r="L73" s="185">
        <f t="shared" ca="1" si="19"/>
        <v>1.483631150028333</v>
      </c>
      <c r="M73" s="192">
        <f t="shared" si="21"/>
        <v>1.4859720000000001</v>
      </c>
      <c r="N73" s="192">
        <f t="shared" si="22"/>
        <v>1.4859720000000001</v>
      </c>
      <c r="O73" s="192">
        <f>INDEX('[4]TS BYDem'!$O$10:$O$203,MATCH(D73,'[4]TS BYDem'!$D$10:$D$203,0))</f>
        <v>1.4859720000000001</v>
      </c>
      <c r="P73" s="185">
        <f t="shared" ca="1" si="19"/>
        <v>1.4748273068159872</v>
      </c>
      <c r="Q73" s="185">
        <f t="shared" ca="1" si="19"/>
        <v>1.4540482308993454</v>
      </c>
      <c r="R73" s="185">
        <f t="shared" ca="1" si="19"/>
        <v>1.3399941393526875</v>
      </c>
      <c r="S73" s="185">
        <f t="shared" ca="1" si="19"/>
        <v>1.3691537205593167</v>
      </c>
      <c r="T73" s="185">
        <f t="shared" ca="1" si="19"/>
        <v>1.3940396378785167</v>
      </c>
      <c r="U73" s="185">
        <f t="shared" ca="1" si="19"/>
        <v>1.4178274898679006</v>
      </c>
      <c r="V73" s="185">
        <f t="shared" ca="1" si="19"/>
        <v>1.440924252916189</v>
      </c>
      <c r="W73" s="185">
        <f t="shared" ca="1" si="19"/>
        <v>1.4702746015301893</v>
      </c>
      <c r="X73" s="185">
        <f t="shared" ca="1" si="19"/>
        <v>1.5128041145472575</v>
      </c>
      <c r="Y73" s="185">
        <f t="shared" ca="1" si="19"/>
        <v>1.5585878161749094</v>
      </c>
      <c r="Z73" s="185">
        <f t="shared" ca="1" si="19"/>
        <v>1.6076644557769144</v>
      </c>
      <c r="AA73" s="185">
        <f t="shared" ca="1" si="20"/>
        <v>1.6520541543932143</v>
      </c>
      <c r="AB73" s="185">
        <f t="shared" ca="1" si="20"/>
        <v>1.7025739941165308</v>
      </c>
      <c r="AC73" s="185">
        <f t="shared" ca="1" si="20"/>
        <v>1.7434949747984421</v>
      </c>
      <c r="AD73" s="185">
        <f t="shared" ca="1" si="20"/>
        <v>1.7814412033385827</v>
      </c>
      <c r="AE73" s="185">
        <f t="shared" ca="1" si="20"/>
        <v>1.8218542995084841</v>
      </c>
      <c r="AF73" s="185">
        <f t="shared" ca="1" si="20"/>
        <v>1.8640087140052755</v>
      </c>
      <c r="AG73" s="185">
        <f t="shared" ca="1" si="20"/>
        <v>1.9069612327352246</v>
      </c>
      <c r="AH73" s="185">
        <f t="shared" ca="1" si="20"/>
        <v>1.9544121571429725</v>
      </c>
      <c r="AI73" s="185">
        <f t="shared" ca="1" si="20"/>
        <v>2.0037495097381846</v>
      </c>
      <c r="AJ73" s="185">
        <f t="shared" ca="1" si="20"/>
        <v>2.0531594172636836</v>
      </c>
      <c r="AK73" s="185">
        <f t="shared" ca="1" si="20"/>
        <v>2.1044557529766466</v>
      </c>
      <c r="AL73" s="185">
        <f t="shared" ca="1" si="20"/>
        <v>2.1593798352039633</v>
      </c>
      <c r="AM73" s="185">
        <f t="shared" ca="1" si="20"/>
        <v>2.4255838744272453</v>
      </c>
      <c r="AN73" s="185">
        <f t="shared" ca="1" si="20"/>
        <v>2.7570873509088969</v>
      </c>
      <c r="AO73" s="185">
        <f t="shared" ca="1" si="20"/>
        <v>3.3439116270707769</v>
      </c>
      <c r="AP73" s="185">
        <f t="shared" ca="1" si="20"/>
        <v>3.9416191427757181</v>
      </c>
    </row>
    <row r="74" spans="1:48">
      <c r="A74" s="57" t="str">
        <f>'[4]TS BYDem'!A13</f>
        <v/>
      </c>
      <c r="B74" s="185" t="s">
        <v>288</v>
      </c>
      <c r="C74" s="185" t="s">
        <v>137</v>
      </c>
      <c r="D74" s="185" t="str">
        <f>'[4]TS BYDem'!D13</f>
        <v>IMIC</v>
      </c>
      <c r="E74" s="185" t="s">
        <v>137</v>
      </c>
      <c r="F74" s="185" t="s">
        <v>137</v>
      </c>
      <c r="G74" s="185" t="s">
        <v>137</v>
      </c>
      <c r="H74" s="185" t="s">
        <v>137</v>
      </c>
      <c r="I74" s="185">
        <v>0</v>
      </c>
      <c r="J74" s="185">
        <f>INDEX('[4]TS BYDem'!$J$10:$J$203,MATCH(D74,'[4]TS BYDem'!$D$10:$D$203,0))</f>
        <v>17.35324025908308</v>
      </c>
      <c r="K74" s="185">
        <f t="shared" ca="1" si="19"/>
        <v>17.811028475294727</v>
      </c>
      <c r="L74" s="185">
        <f t="shared" ca="1" si="19"/>
        <v>17.843022230989085</v>
      </c>
      <c r="M74" s="192">
        <f t="shared" si="21"/>
        <v>17.871174671764589</v>
      </c>
      <c r="N74" s="192">
        <f t="shared" si="22"/>
        <v>17.871174671764589</v>
      </c>
      <c r="O74" s="192">
        <f>INDEX('[4]TS BYDem'!$O$10:$O$203,MATCH(D74,'[4]TS BYDem'!$D$10:$D$203,0))</f>
        <v>17.871174671764589</v>
      </c>
      <c r="P74" s="185">
        <f t="shared" ca="1" si="19"/>
        <v>17.737142026092449</v>
      </c>
      <c r="Q74" s="185">
        <f t="shared" ca="1" si="19"/>
        <v>17.48724061797429</v>
      </c>
      <c r="R74" s="185">
        <f t="shared" ca="1" si="19"/>
        <v>16.115558922720439</v>
      </c>
      <c r="S74" s="185">
        <f t="shared" ca="1" si="19"/>
        <v>16.466249224488692</v>
      </c>
      <c r="T74" s="185">
        <f t="shared" ca="1" si="19"/>
        <v>16.765541926692041</v>
      </c>
      <c r="U74" s="185">
        <f t="shared" ca="1" si="19"/>
        <v>17.051628648358641</v>
      </c>
      <c r="V74" s="185">
        <f t="shared" ca="1" si="19"/>
        <v>17.32940392729278</v>
      </c>
      <c r="W74" s="185">
        <f t="shared" ca="1" si="19"/>
        <v>17.682388510284913</v>
      </c>
      <c r="X74" s="185">
        <f t="shared" ca="1" si="19"/>
        <v>18.193873488355234</v>
      </c>
      <c r="Y74" s="185">
        <f t="shared" ca="1" si="19"/>
        <v>18.744495255728857</v>
      </c>
      <c r="Z74" s="185">
        <f t="shared" ca="1" si="19"/>
        <v>19.334719835082083</v>
      </c>
      <c r="AA74" s="185">
        <f t="shared" ca="1" si="20"/>
        <v>19.868576501021202</v>
      </c>
      <c r="AB74" s="185">
        <f t="shared" ca="1" si="20"/>
        <v>20.476157855235776</v>
      </c>
      <c r="AC74" s="185">
        <f t="shared" ca="1" si="20"/>
        <v>20.968297675842315</v>
      </c>
      <c r="AD74" s="185">
        <f t="shared" ca="1" si="20"/>
        <v>21.42466137473809</v>
      </c>
      <c r="AE74" s="185">
        <f t="shared" ca="1" si="20"/>
        <v>21.910693077003764</v>
      </c>
      <c r="AF74" s="185">
        <f t="shared" ca="1" si="20"/>
        <v>22.417666899295252</v>
      </c>
      <c r="AG74" s="185">
        <f t="shared" ca="1" si="20"/>
        <v>22.934239193265235</v>
      </c>
      <c r="AH74" s="185">
        <f t="shared" ca="1" si="20"/>
        <v>23.50491196396856</v>
      </c>
      <c r="AI74" s="185">
        <f t="shared" ca="1" si="20"/>
        <v>24.098272031366513</v>
      </c>
      <c r="AJ74" s="185">
        <f t="shared" ca="1" si="20"/>
        <v>24.692504687098872</v>
      </c>
      <c r="AK74" s="185">
        <f t="shared" ca="1" si="20"/>
        <v>25.309424639525862</v>
      </c>
      <c r="AL74" s="185">
        <f t="shared" ca="1" si="20"/>
        <v>25.969974008673287</v>
      </c>
      <c r="AM74" s="185">
        <f t="shared" ca="1" si="20"/>
        <v>29.171500607618992</v>
      </c>
      <c r="AN74" s="185">
        <f t="shared" ca="1" si="20"/>
        <v>33.158356707532583</v>
      </c>
      <c r="AO74" s="185">
        <f t="shared" ca="1" si="20"/>
        <v>40.215851156230663</v>
      </c>
      <c r="AP74" s="185">
        <f t="shared" ca="1" si="20"/>
        <v>47.404233855090048</v>
      </c>
    </row>
    <row r="75" spans="1:48">
      <c r="A75" s="57" t="str">
        <f>'[4]TS BYDem'!A14</f>
        <v/>
      </c>
      <c r="B75" s="185" t="s">
        <v>288</v>
      </c>
      <c r="C75" s="185" t="s">
        <v>137</v>
      </c>
      <c r="D75" s="185" t="str">
        <f>'[4]TS BYDem'!D14</f>
        <v>IMIH</v>
      </c>
      <c r="E75" s="185" t="s">
        <v>137</v>
      </c>
      <c r="F75" s="185" t="s">
        <v>137</v>
      </c>
      <c r="G75" s="185" t="s">
        <v>137</v>
      </c>
      <c r="H75" s="185" t="s">
        <v>137</v>
      </c>
      <c r="I75" s="185">
        <v>0</v>
      </c>
      <c r="J75" s="185">
        <f>INDEX('[4]TS BYDem'!$J$10:$J$203,MATCH(D75,'[4]TS BYDem'!$D$10:$D$203,0))</f>
        <v>7.6954998524370488</v>
      </c>
      <c r="K75" s="185">
        <f t="shared" ca="1" si="19"/>
        <v>7.8985114570542425</v>
      </c>
      <c r="L75" s="185">
        <f t="shared" ca="1" si="19"/>
        <v>7.9126994668177781</v>
      </c>
      <c r="M75" s="192">
        <f t="shared" si="21"/>
        <v>7.9251840000000016</v>
      </c>
      <c r="N75" s="192">
        <f t="shared" si="22"/>
        <v>7.9251840000000016</v>
      </c>
      <c r="O75" s="192">
        <f>INDEX('[4]TS BYDem'!$O$10:$O$203,MATCH(D75,'[4]TS BYDem'!$D$10:$D$203,0))</f>
        <v>7.9251840000000016</v>
      </c>
      <c r="P75" s="185">
        <f t="shared" ca="1" si="19"/>
        <v>7.8657456363519334</v>
      </c>
      <c r="Q75" s="185">
        <f t="shared" ca="1" si="19"/>
        <v>7.754923898129845</v>
      </c>
      <c r="R75" s="185">
        <f t="shared" ca="1" si="19"/>
        <v>7.1466354098810019</v>
      </c>
      <c r="S75" s="185">
        <f t="shared" ca="1" si="19"/>
        <v>7.3021531763163576</v>
      </c>
      <c r="T75" s="185">
        <f t="shared" ca="1" si="19"/>
        <v>7.4348780686854239</v>
      </c>
      <c r="U75" s="185">
        <f t="shared" ca="1" si="19"/>
        <v>7.5617466126288049</v>
      </c>
      <c r="V75" s="185">
        <f t="shared" ca="1" si="19"/>
        <v>7.6849293488863433</v>
      </c>
      <c r="W75" s="185">
        <f t="shared" ca="1" si="19"/>
        <v>7.8414645414943456</v>
      </c>
      <c r="X75" s="185">
        <f t="shared" ca="1" si="19"/>
        <v>8.0682886109187102</v>
      </c>
      <c r="Y75" s="185">
        <f t="shared" ca="1" si="19"/>
        <v>8.3124683529328536</v>
      </c>
      <c r="Z75" s="185">
        <f t="shared" ca="1" si="19"/>
        <v>8.5742104308102149</v>
      </c>
      <c r="AA75" s="185">
        <f t="shared" ca="1" si="20"/>
        <v>8.8109554900971485</v>
      </c>
      <c r="AB75" s="185">
        <f t="shared" ca="1" si="20"/>
        <v>9.0803946352881706</v>
      </c>
      <c r="AC75" s="185">
        <f t="shared" ca="1" si="20"/>
        <v>9.2986398655916975</v>
      </c>
      <c r="AD75" s="185">
        <f t="shared" ca="1" si="20"/>
        <v>9.5010197511391148</v>
      </c>
      <c r="AE75" s="185">
        <f t="shared" ca="1" si="20"/>
        <v>9.7165562640452556</v>
      </c>
      <c r="AF75" s="185">
        <f t="shared" ca="1" si="20"/>
        <v>9.9413798080281435</v>
      </c>
      <c r="AG75" s="185">
        <f t="shared" ca="1" si="20"/>
        <v>10.170459907921206</v>
      </c>
      <c r="AH75" s="185">
        <f t="shared" ca="1" si="20"/>
        <v>10.423531504762527</v>
      </c>
      <c r="AI75" s="185">
        <f t="shared" ca="1" si="20"/>
        <v>10.686664051936992</v>
      </c>
      <c r="AJ75" s="185">
        <f t="shared" ca="1" si="20"/>
        <v>10.950183558739653</v>
      </c>
      <c r="AK75" s="185">
        <f t="shared" ca="1" si="20"/>
        <v>11.223764015875457</v>
      </c>
      <c r="AL75" s="185">
        <f t="shared" ca="1" si="20"/>
        <v>11.516692454421145</v>
      </c>
      <c r="AM75" s="185">
        <f t="shared" ca="1" si="20"/>
        <v>12.936447330278652</v>
      </c>
      <c r="AN75" s="185">
        <f t="shared" ca="1" si="20"/>
        <v>14.704465871514129</v>
      </c>
      <c r="AO75" s="185">
        <f t="shared" ca="1" si="20"/>
        <v>17.834195344377491</v>
      </c>
      <c r="AP75" s="185">
        <f t="shared" ca="1" si="20"/>
        <v>21.021968761470514</v>
      </c>
    </row>
    <row r="76" spans="1:48">
      <c r="A76" s="57" t="str">
        <f>'[4]TS BYDem'!A15</f>
        <v/>
      </c>
      <c r="B76" s="185" t="s">
        <v>288</v>
      </c>
      <c r="C76" s="185" t="s">
        <v>137</v>
      </c>
      <c r="D76" s="185" t="str">
        <f>'[4]TS BYDem'!D15</f>
        <v>IMIP</v>
      </c>
      <c r="E76" s="185" t="s">
        <v>137</v>
      </c>
      <c r="F76" s="185" t="s">
        <v>137</v>
      </c>
      <c r="G76" s="185" t="s">
        <v>137</v>
      </c>
      <c r="H76" s="185" t="s">
        <v>137</v>
      </c>
      <c r="I76" s="185">
        <v>0</v>
      </c>
      <c r="J76" s="185">
        <f>INDEX('[4]TS BYDem'!$J$10:$J$203,MATCH(D76,'[4]TS BYDem'!$D$10:$D$203,0))</f>
        <v>15.294517272248457</v>
      </c>
      <c r="K76" s="185">
        <f t="shared" ca="1" si="19"/>
        <v>15.697995220766805</v>
      </c>
      <c r="L76" s="185">
        <f t="shared" ca="1" si="19"/>
        <v>15.726193357931152</v>
      </c>
      <c r="M76" s="192">
        <f t="shared" si="21"/>
        <v>15.751005899293361</v>
      </c>
      <c r="N76" s="192">
        <f t="shared" si="22"/>
        <v>15.751005899293361</v>
      </c>
      <c r="O76" s="192">
        <f>INDEX('[4]TS BYDem'!$O$10:$O$203,MATCH(D76,'[4]TS BYDem'!$D$10:$D$203,0))</f>
        <v>15.751005899293361</v>
      </c>
      <c r="P76" s="185">
        <f t="shared" ca="1" si="19"/>
        <v>15.632874381278754</v>
      </c>
      <c r="Q76" s="185">
        <f t="shared" ca="1" si="19"/>
        <v>15.412620333864073</v>
      </c>
      <c r="R76" s="185">
        <f t="shared" ca="1" si="19"/>
        <v>14.203669782447253</v>
      </c>
      <c r="S76" s="185">
        <f t="shared" ca="1" si="19"/>
        <v>14.512755509235202</v>
      </c>
      <c r="T76" s="185">
        <f t="shared" ca="1" si="19"/>
        <v>14.776541253854916</v>
      </c>
      <c r="U76" s="185">
        <f t="shared" ca="1" si="19"/>
        <v>15.028687725670201</v>
      </c>
      <c r="V76" s="185">
        <f t="shared" ca="1" si="19"/>
        <v>15.273508792977102</v>
      </c>
      <c r="W76" s="185">
        <f t="shared" ca="1" si="19"/>
        <v>15.584616616116055</v>
      </c>
      <c r="X76" s="185">
        <f t="shared" ca="1" si="19"/>
        <v>16.035420945151806</v>
      </c>
      <c r="Y76" s="185">
        <f t="shared" ca="1" si="19"/>
        <v>16.520719022389219</v>
      </c>
      <c r="Z76" s="185">
        <f t="shared" ca="1" si="19"/>
        <v>17.040921583331603</v>
      </c>
      <c r="AA76" s="185">
        <f t="shared" ca="1" si="20"/>
        <v>17.511443507549014</v>
      </c>
      <c r="AB76" s="185">
        <f t="shared" ca="1" si="20"/>
        <v>18.046943701034028</v>
      </c>
      <c r="AC76" s="185">
        <f t="shared" ca="1" si="20"/>
        <v>18.480697909138659</v>
      </c>
      <c r="AD76" s="185">
        <f t="shared" ca="1" si="20"/>
        <v>18.882920339703762</v>
      </c>
      <c r="AE76" s="185">
        <f t="shared" ca="1" si="20"/>
        <v>19.311291073594326</v>
      </c>
      <c r="AF76" s="185">
        <f t="shared" ca="1" si="20"/>
        <v>19.758119433361685</v>
      </c>
      <c r="AG76" s="185">
        <f t="shared" ca="1" si="20"/>
        <v>20.213407538322571</v>
      </c>
      <c r="AH76" s="185">
        <f t="shared" ca="1" si="20"/>
        <v>20.716377843465171</v>
      </c>
      <c r="AI76" s="185">
        <f t="shared" ca="1" si="20"/>
        <v>21.239343909974298</v>
      </c>
      <c r="AJ76" s="185">
        <f t="shared" ca="1" si="20"/>
        <v>21.763079044228292</v>
      </c>
      <c r="AK76" s="185">
        <f t="shared" ca="1" si="20"/>
        <v>22.306809939848812</v>
      </c>
      <c r="AL76" s="185">
        <f t="shared" ca="1" si="20"/>
        <v>22.888994222712647</v>
      </c>
      <c r="AM76" s="185">
        <f t="shared" ca="1" si="20"/>
        <v>25.710703778627323</v>
      </c>
      <c r="AN76" s="185">
        <f t="shared" ca="1" si="20"/>
        <v>29.224574304921731</v>
      </c>
      <c r="AO76" s="185">
        <f t="shared" ca="1" si="20"/>
        <v>35.44479422540094</v>
      </c>
      <c r="AP76" s="185">
        <f t="shared" ca="1" si="20"/>
        <v>41.780374307610103</v>
      </c>
    </row>
    <row r="77" spans="1:48">
      <c r="A77" s="57" t="str">
        <f>'[4]TS BYDem'!A16</f>
        <v/>
      </c>
      <c r="B77" s="185" t="s">
        <v>288</v>
      </c>
      <c r="C77" s="185" t="s">
        <v>137</v>
      </c>
      <c r="D77" s="185" t="str">
        <f>'[4]TS BYDem'!D16</f>
        <v>IMIF</v>
      </c>
      <c r="E77" s="185" t="s">
        <v>137</v>
      </c>
      <c r="F77" s="185" t="s">
        <v>137</v>
      </c>
      <c r="G77" s="185" t="s">
        <v>137</v>
      </c>
      <c r="H77" s="185" t="s">
        <v>137</v>
      </c>
      <c r="I77" s="185">
        <v>0</v>
      </c>
      <c r="J77" s="185">
        <f>INDEX('[4]TS BYDem'!$J$10:$J$203,MATCH(D77,'[4]TS BYDem'!$D$10:$D$203,0))</f>
        <v>5.8889063414920679</v>
      </c>
      <c r="K77" s="185">
        <f t="shared" ca="1" si="19"/>
        <v>6.0442589954782893</v>
      </c>
      <c r="L77" s="185">
        <f t="shared" ca="1" si="19"/>
        <v>6.055116231820536</v>
      </c>
      <c r="M77" s="192">
        <f t="shared" si="21"/>
        <v>6.0646698992933636</v>
      </c>
      <c r="N77" s="192">
        <f t="shared" si="22"/>
        <v>6.0646698992933636</v>
      </c>
      <c r="O77" s="192">
        <f>INDEX('[4]TS BYDem'!$O$10:$O$203,MATCH(D77,'[4]TS BYDem'!$D$10:$D$203,0))</f>
        <v>6.0646698992933636</v>
      </c>
      <c r="P77" s="185">
        <f t="shared" ca="1" si="19"/>
        <v>6.0191852701819517</v>
      </c>
      <c r="Q77" s="185">
        <f t="shared" ca="1" si="19"/>
        <v>5.9343800139276022</v>
      </c>
      <c r="R77" s="185">
        <f t="shared" ca="1" si="19"/>
        <v>5.4688931703704782</v>
      </c>
      <c r="S77" s="185">
        <f t="shared" ca="1" si="19"/>
        <v>5.5879016270707691</v>
      </c>
      <c r="T77" s="185">
        <f t="shared" ca="1" si="19"/>
        <v>5.6894680587949571</v>
      </c>
      <c r="U77" s="185">
        <f t="shared" ca="1" si="19"/>
        <v>5.7865529769016657</v>
      </c>
      <c r="V77" s="185">
        <f t="shared" ca="1" si="19"/>
        <v>5.8808173665604651</v>
      </c>
      <c r="W77" s="185">
        <f t="shared" ca="1" si="19"/>
        <v>6.0006043987340822</v>
      </c>
      <c r="X77" s="185">
        <f t="shared" ca="1" si="19"/>
        <v>6.1741793095845008</v>
      </c>
      <c r="Y77" s="185">
        <f t="shared" ca="1" si="19"/>
        <v>6.3610354799157376</v>
      </c>
      <c r="Z77" s="185">
        <f t="shared" ca="1" si="19"/>
        <v>6.5613310567857921</v>
      </c>
      <c r="AA77" s="185">
        <f t="shared" ca="1" si="20"/>
        <v>6.7424979085413961</v>
      </c>
      <c r="AB77" s="185">
        <f t="shared" ca="1" si="20"/>
        <v>6.9486835912373843</v>
      </c>
      <c r="AC77" s="185">
        <f t="shared" ca="1" si="20"/>
        <v>7.1156936289710373</v>
      </c>
      <c r="AD77" s="185">
        <f t="shared" ca="1" si="20"/>
        <v>7.2705628660892989</v>
      </c>
      <c r="AE77" s="185">
        <f t="shared" ca="1" si="20"/>
        <v>7.4355000842056889</v>
      </c>
      <c r="AF77" s="185">
        <f t="shared" ca="1" si="20"/>
        <v>7.607544112438406</v>
      </c>
      <c r="AG77" s="185">
        <f t="shared" ca="1" si="20"/>
        <v>7.7828454286411048</v>
      </c>
      <c r="AH77" s="185">
        <f t="shared" ca="1" si="20"/>
        <v>7.9765060043109779</v>
      </c>
      <c r="AI77" s="185">
        <f t="shared" ca="1" si="20"/>
        <v>8.1778656242735384</v>
      </c>
      <c r="AJ77" s="185">
        <f t="shared" ca="1" si="20"/>
        <v>8.3795213613242776</v>
      </c>
      <c r="AK77" s="185">
        <f t="shared" ca="1" si="20"/>
        <v>8.5888761426677043</v>
      </c>
      <c r="AL77" s="185">
        <f t="shared" ca="1" si="20"/>
        <v>8.8130367784201411</v>
      </c>
      <c r="AM77" s="185">
        <f t="shared" ca="1" si="20"/>
        <v>9.8994903749534195</v>
      </c>
      <c r="AN77" s="185">
        <f t="shared" ca="1" si="20"/>
        <v>11.252449350848913</v>
      </c>
      <c r="AO77" s="185">
        <f t="shared" ca="1" si="20"/>
        <v>13.647444360050681</v>
      </c>
      <c r="AP77" s="185">
        <f t="shared" ca="1" si="20"/>
        <v>16.086856932479481</v>
      </c>
    </row>
    <row r="78" spans="1:48">
      <c r="A78" s="57" t="str">
        <f>'[4]TS BYDem'!A17</f>
        <v/>
      </c>
      <c r="B78" s="185" t="s">
        <v>288</v>
      </c>
      <c r="C78" s="185" t="s">
        <v>137</v>
      </c>
      <c r="D78" s="185" t="str">
        <f>'[4]TS BYDem'!D17</f>
        <v>IMIO</v>
      </c>
      <c r="E78" s="185" t="s">
        <v>137</v>
      </c>
      <c r="F78" s="185" t="s">
        <v>137</v>
      </c>
      <c r="G78" s="185" t="s">
        <v>137</v>
      </c>
      <c r="H78" s="185" t="s">
        <v>137</v>
      </c>
      <c r="I78" s="185">
        <v>0</v>
      </c>
      <c r="J78" s="185">
        <f>INDEX('[4]TS BYDem'!$J$10:$J$203,MATCH(D78,'[4]TS BYDem'!$D$10:$D$203,0))</f>
        <v>28.894976807848312</v>
      </c>
      <c r="K78" s="185">
        <f t="shared" ca="1" si="19"/>
        <v>29.657242511132058</v>
      </c>
      <c r="L78" s="185">
        <f t="shared" ca="1" si="19"/>
        <v>29.710515491565818</v>
      </c>
      <c r="M78" s="192">
        <f t="shared" si="21"/>
        <v>29.757392277177463</v>
      </c>
      <c r="N78" s="192">
        <f t="shared" si="22"/>
        <v>29.757392277177463</v>
      </c>
      <c r="O78" s="192">
        <f>INDEX('[4]TS BYDem'!$O$10:$O$203,MATCH(D78,'[4]TS BYDem'!$D$10:$D$203,0))</f>
        <v>29.757392277177463</v>
      </c>
      <c r="P78" s="185">
        <f t="shared" ca="1" si="19"/>
        <v>29.534213773891089</v>
      </c>
      <c r="Q78" s="185">
        <f t="shared" ca="1" si="19"/>
        <v>29.1181015502363</v>
      </c>
      <c r="R78" s="185">
        <f t="shared" ca="1" si="19"/>
        <v>26.834106735414075</v>
      </c>
      <c r="S78" s="185">
        <f t="shared" ca="1" si="19"/>
        <v>27.41804310608854</v>
      </c>
      <c r="T78" s="185">
        <f t="shared" ca="1" si="19"/>
        <v>27.916397048050325</v>
      </c>
      <c r="U78" s="185">
        <f t="shared" ca="1" si="19"/>
        <v>28.392761638419142</v>
      </c>
      <c r="V78" s="185">
        <f t="shared" ca="1" si="19"/>
        <v>28.855286799297634</v>
      </c>
      <c r="W78" s="185">
        <f t="shared" ca="1" si="19"/>
        <v>29.44304339039001</v>
      </c>
      <c r="X78" s="185">
        <f t="shared" ca="1" si="19"/>
        <v>30.294719870300952</v>
      </c>
      <c r="Y78" s="185">
        <f t="shared" ca="1" si="19"/>
        <v>31.211563235610178</v>
      </c>
      <c r="Z78" s="185">
        <f t="shared" ca="1" si="19"/>
        <v>32.194349463266235</v>
      </c>
      <c r="AA78" s="185">
        <f t="shared" ca="1" si="20"/>
        <v>33.083277164993405</v>
      </c>
      <c r="AB78" s="185">
        <f t="shared" ca="1" si="20"/>
        <v>34.094964254943193</v>
      </c>
      <c r="AC78" s="185">
        <f t="shared" ca="1" si="20"/>
        <v>34.914429005637309</v>
      </c>
      <c r="AD78" s="185">
        <f t="shared" ca="1" si="20"/>
        <v>35.67432273722067</v>
      </c>
      <c r="AE78" s="185">
        <f t="shared" ca="1" si="20"/>
        <v>36.48361682611538</v>
      </c>
      <c r="AF78" s="185">
        <f t="shared" ca="1" si="20"/>
        <v>37.327781755465168</v>
      </c>
      <c r="AG78" s="185">
        <f t="shared" ca="1" si="20"/>
        <v>38.187929153356855</v>
      </c>
      <c r="AH78" s="185">
        <f t="shared" ca="1" si="20"/>
        <v>39.138159555757468</v>
      </c>
      <c r="AI78" s="185">
        <f t="shared" ca="1" si="20"/>
        <v>40.12616670198441</v>
      </c>
      <c r="AJ78" s="185">
        <f t="shared" ca="1" si="20"/>
        <v>41.11562679989698</v>
      </c>
      <c r="AK78" s="185">
        <f t="shared" ca="1" si="20"/>
        <v>42.142863641635877</v>
      </c>
      <c r="AL78" s="185">
        <f t="shared" ca="1" si="20"/>
        <v>43.242748067656159</v>
      </c>
      <c r="AM78" s="185">
        <f t="shared" ca="1" si="20"/>
        <v>48.573627802224742</v>
      </c>
      <c r="AN78" s="185">
        <f t="shared" ca="1" si="20"/>
        <v>55.212164053858409</v>
      </c>
      <c r="AO78" s="185">
        <f t="shared" ca="1" si="20"/>
        <v>66.963637287216628</v>
      </c>
      <c r="AP78" s="185">
        <f t="shared" ca="1" si="20"/>
        <v>78.93305327341902</v>
      </c>
    </row>
    <row r="79" spans="1:48">
      <c r="A79" s="57" t="str">
        <f>'[4]TS BYDem'!A18</f>
        <v/>
      </c>
      <c r="B79" s="185" t="s">
        <v>288</v>
      </c>
      <c r="C79" s="185" t="s">
        <v>137</v>
      </c>
      <c r="D79" s="185" t="str">
        <f>'[4]TS BYDem'!D18</f>
        <v>IMIE</v>
      </c>
      <c r="E79" s="185" t="s">
        <v>137</v>
      </c>
      <c r="F79" s="185" t="s">
        <v>137</v>
      </c>
      <c r="G79" s="185" t="s">
        <v>137</v>
      </c>
      <c r="H79" s="185" t="s">
        <v>137</v>
      </c>
      <c r="I79" s="185">
        <v>0</v>
      </c>
      <c r="J79" s="185">
        <f>INDEX('[4]TS BYDem'!$J$10:$J$203,MATCH(D79,'[4]TS BYDem'!$D$10:$D$203,0))</f>
        <v>0.18682963530638833</v>
      </c>
      <c r="K79" s="185">
        <f t="shared" ca="1" si="19"/>
        <v>0.19175830592959464</v>
      </c>
      <c r="L79" s="185">
        <f t="shared" ca="1" si="19"/>
        <v>0.1921027592777427</v>
      </c>
      <c r="M79" s="192">
        <f t="shared" si="21"/>
        <v>0.19240585599999999</v>
      </c>
      <c r="N79" s="192">
        <f t="shared" si="22"/>
        <v>0.19240585599999999</v>
      </c>
      <c r="O79" s="192">
        <f>INDEX('[4]TS BYDem'!$O$10:$O$203,MATCH(D79,'[4]TS BYDem'!$D$10:$D$203,0))</f>
        <v>0.19240585599999999</v>
      </c>
      <c r="P79" s="185">
        <f t="shared" ca="1" si="19"/>
        <v>0.19096282461587744</v>
      </c>
      <c r="Q79" s="185">
        <f t="shared" ca="1" si="19"/>
        <v>0.18827231908237452</v>
      </c>
      <c r="R79" s="185">
        <f t="shared" ca="1" si="19"/>
        <v>0.17350442633988872</v>
      </c>
      <c r="S79" s="185">
        <f t="shared" ca="1" si="19"/>
        <v>0.17728005211390263</v>
      </c>
      <c r="T79" s="185">
        <f t="shared" ca="1" si="19"/>
        <v>0.1805023175564183</v>
      </c>
      <c r="U79" s="185">
        <f t="shared" ca="1" si="19"/>
        <v>0.18358240387326594</v>
      </c>
      <c r="V79" s="185">
        <f t="shared" ca="1" si="19"/>
        <v>0.18657300697018506</v>
      </c>
      <c r="W79" s="185">
        <f t="shared" ca="1" si="19"/>
        <v>0.19037333359072378</v>
      </c>
      <c r="X79" s="185">
        <f t="shared" ca="1" si="19"/>
        <v>0.19588011794285973</v>
      </c>
      <c r="Y79" s="185">
        <f t="shared" ca="1" si="19"/>
        <v>0.2018082594573142</v>
      </c>
      <c r="Z79" s="185">
        <f t="shared" ca="1" si="19"/>
        <v>0.20816277545911457</v>
      </c>
      <c r="AA79" s="185">
        <f t="shared" ca="1" si="20"/>
        <v>0.21391041939846955</v>
      </c>
      <c r="AB79" s="185">
        <f t="shared" ca="1" si="20"/>
        <v>0.22045180309005158</v>
      </c>
      <c r="AC79" s="185">
        <f t="shared" ca="1" si="20"/>
        <v>0.22575031229242054</v>
      </c>
      <c r="AD79" s="185">
        <f t="shared" ca="1" si="20"/>
        <v>0.23066364618043281</v>
      </c>
      <c r="AE79" s="185">
        <f t="shared" ca="1" si="20"/>
        <v>0.23589639374376523</v>
      </c>
      <c r="AF79" s="185">
        <f t="shared" ca="1" si="20"/>
        <v>0.24135460978379422</v>
      </c>
      <c r="AG79" s="185">
        <f t="shared" ca="1" si="20"/>
        <v>0.24691616554230914</v>
      </c>
      <c r="AH79" s="185">
        <f t="shared" ca="1" si="20"/>
        <v>0.2530601815322901</v>
      </c>
      <c r="AI79" s="185">
        <f t="shared" ca="1" si="20"/>
        <v>0.25944845503869235</v>
      </c>
      <c r="AJ79" s="185">
        <f t="shared" ca="1" si="20"/>
        <v>0.26584612306495697</v>
      </c>
      <c r="AK79" s="185">
        <f t="shared" ca="1" si="20"/>
        <v>0.27248804860764286</v>
      </c>
      <c r="AL79" s="185">
        <f t="shared" ca="1" si="20"/>
        <v>0.27959970014344654</v>
      </c>
      <c r="AM79" s="185">
        <f t="shared" ca="1" si="20"/>
        <v>0.31406819351843152</v>
      </c>
      <c r="AN79" s="185">
        <f t="shared" ca="1" si="20"/>
        <v>0.35699175476953726</v>
      </c>
      <c r="AO79" s="185">
        <f t="shared" ca="1" si="20"/>
        <v>0.43297463141627551</v>
      </c>
      <c r="AP79" s="185">
        <f t="shared" ca="1" si="20"/>
        <v>0.51036668604236712</v>
      </c>
    </row>
    <row r="80" spans="1:48">
      <c r="A80" s="57" t="str">
        <f>'[4]TS BYDem'!A19</f>
        <v>*</v>
      </c>
      <c r="B80" s="185" t="s">
        <v>288</v>
      </c>
      <c r="C80" s="185" t="s">
        <v>137</v>
      </c>
      <c r="D80" s="185">
        <f>'[4]TS BYDem'!D19</f>
        <v>0</v>
      </c>
      <c r="E80" s="185" t="s">
        <v>137</v>
      </c>
      <c r="F80" s="185" t="s">
        <v>137</v>
      </c>
      <c r="G80" s="185" t="s">
        <v>137</v>
      </c>
      <c r="H80" s="185" t="s">
        <v>137</v>
      </c>
      <c r="I80" s="185">
        <v>0</v>
      </c>
      <c r="J80" s="185" t="str">
        <f>INDEX('[4]TS BYDem'!$J$10:$J$203,MATCH(D80,'[4]TS BYDem'!$D$10:$D$203,0))</f>
        <v/>
      </c>
      <c r="K80" s="185" t="e">
        <f t="shared" ca="1" si="19"/>
        <v>#VALUE!</v>
      </c>
      <c r="L80" s="185" t="e">
        <f t="shared" ca="1" si="19"/>
        <v>#VALUE!</v>
      </c>
      <c r="M80" s="185" t="e">
        <f t="shared" ca="1" si="19"/>
        <v>#VALUE!</v>
      </c>
      <c r="N80" s="185" t="e">
        <f t="shared" ca="1" si="19"/>
        <v>#VALUE!</v>
      </c>
      <c r="O80" s="185" t="e">
        <f t="shared" ca="1" si="19"/>
        <v>#VALUE!</v>
      </c>
      <c r="P80" s="185" t="e">
        <f t="shared" ca="1" si="19"/>
        <v>#VALUE!</v>
      </c>
      <c r="Q80" s="185" t="e">
        <f t="shared" ca="1" si="19"/>
        <v>#VALUE!</v>
      </c>
      <c r="R80" s="185" t="e">
        <f t="shared" ca="1" si="19"/>
        <v>#VALUE!</v>
      </c>
      <c r="S80" s="185" t="e">
        <f t="shared" ca="1" si="19"/>
        <v>#VALUE!</v>
      </c>
      <c r="T80" s="185" t="e">
        <f t="shared" ca="1" si="19"/>
        <v>#VALUE!</v>
      </c>
      <c r="U80" s="185" t="e">
        <f t="shared" ca="1" si="19"/>
        <v>#VALUE!</v>
      </c>
      <c r="V80" s="185" t="e">
        <f t="shared" ca="1" si="19"/>
        <v>#VALUE!</v>
      </c>
      <c r="W80" s="185" t="e">
        <f t="shared" ca="1" si="19"/>
        <v>#VALUE!</v>
      </c>
      <c r="X80" s="185" t="e">
        <f t="shared" ca="1" si="19"/>
        <v>#VALUE!</v>
      </c>
      <c r="Y80" s="185" t="e">
        <f t="shared" ca="1" si="19"/>
        <v>#VALUE!</v>
      </c>
      <c r="Z80" s="185" t="e">
        <f t="shared" ca="1" si="19"/>
        <v>#VALUE!</v>
      </c>
      <c r="AA80" s="185" t="e">
        <f t="shared" ca="1" si="20"/>
        <v>#VALUE!</v>
      </c>
      <c r="AB80" s="185" t="e">
        <f t="shared" ca="1" si="20"/>
        <v>#VALUE!</v>
      </c>
      <c r="AC80" s="185" t="e">
        <f t="shared" ca="1" si="20"/>
        <v>#VALUE!</v>
      </c>
      <c r="AD80" s="185" t="e">
        <f t="shared" ca="1" si="20"/>
        <v>#VALUE!</v>
      </c>
      <c r="AE80" s="185" t="e">
        <f t="shared" ca="1" si="20"/>
        <v>#VALUE!</v>
      </c>
      <c r="AF80" s="185" t="e">
        <f t="shared" ca="1" si="20"/>
        <v>#VALUE!</v>
      </c>
      <c r="AG80" s="185" t="e">
        <f t="shared" ca="1" si="20"/>
        <v>#VALUE!</v>
      </c>
      <c r="AH80" s="185" t="e">
        <f t="shared" ca="1" si="20"/>
        <v>#VALUE!</v>
      </c>
      <c r="AI80" s="185" t="e">
        <f t="shared" ca="1" si="20"/>
        <v>#VALUE!</v>
      </c>
      <c r="AJ80" s="185" t="e">
        <f t="shared" ca="1" si="20"/>
        <v>#VALUE!</v>
      </c>
      <c r="AK80" s="185" t="e">
        <f t="shared" ca="1" si="20"/>
        <v>#VALUE!</v>
      </c>
      <c r="AL80" s="185" t="e">
        <f t="shared" ca="1" si="20"/>
        <v>#VALUE!</v>
      </c>
      <c r="AM80" s="185" t="e">
        <f t="shared" ca="1" si="20"/>
        <v>#VALUE!</v>
      </c>
      <c r="AN80" s="185" t="e">
        <f t="shared" ca="1" si="20"/>
        <v>#VALUE!</v>
      </c>
      <c r="AO80" s="185" t="e">
        <f t="shared" ca="1" si="20"/>
        <v>#VALUE!</v>
      </c>
      <c r="AP80" s="185" t="e">
        <f t="shared" ca="1" si="20"/>
        <v>#VALUE!</v>
      </c>
    </row>
    <row r="81" spans="1:42">
      <c r="A81" s="57" t="str">
        <f>'[4]TS BYDem'!A20</f>
        <v/>
      </c>
      <c r="B81" s="185" t="s">
        <v>288</v>
      </c>
      <c r="C81" s="185" t="s">
        <v>137</v>
      </c>
      <c r="D81" s="185" t="str">
        <f>'[4]TS BYDem'!D20</f>
        <v>IMIS</v>
      </c>
      <c r="E81" s="185" t="s">
        <v>137</v>
      </c>
      <c r="F81" s="185" t="s">
        <v>137</v>
      </c>
      <c r="G81" s="185" t="s">
        <v>137</v>
      </c>
      <c r="H81" s="185" t="s">
        <v>137</v>
      </c>
      <c r="I81" s="185">
        <v>0</v>
      </c>
      <c r="J81" s="185">
        <f>INDEX('[4]TS BYDem'!$J$10:$J$203,MATCH(D81,'[4]TS BYDem'!$D$10:$D$203,0))</f>
        <v>20.275122960000004</v>
      </c>
      <c r="K81" s="185">
        <f t="shared" ca="1" si="19"/>
        <v>20.809992081544721</v>
      </c>
      <c r="L81" s="185">
        <f t="shared" ca="1" si="19"/>
        <v>20.847372842772632</v>
      </c>
      <c r="M81" s="192">
        <f t="shared" ref="M81" si="23">O81</f>
        <v>0.90805719120000006</v>
      </c>
      <c r="N81" s="192">
        <f t="shared" si="22"/>
        <v>0.90805719120000006</v>
      </c>
      <c r="O81" s="192">
        <f>INDEX('[4]TS BYDem'!$O$10:$O$203,MATCH(D81,'[4]TS BYDem'!$D$10:$D$203,0))</f>
        <v>0.90805719120000006</v>
      </c>
      <c r="P81" s="185">
        <f t="shared" ca="1" si="19"/>
        <v>0.90124682142892731</v>
      </c>
      <c r="Q81" s="185">
        <f t="shared" ca="1" si="19"/>
        <v>0.8885490119731656</v>
      </c>
      <c r="R81" s="185">
        <f t="shared" ca="1" si="19"/>
        <v>0.81885211457891727</v>
      </c>
      <c r="S81" s="185">
        <f t="shared" ca="1" si="19"/>
        <v>0.83667113634181722</v>
      </c>
      <c r="T81" s="185">
        <f t="shared" ca="1" si="19"/>
        <v>0.8518785804802721</v>
      </c>
      <c r="U81" s="185">
        <f t="shared" ca="1" si="19"/>
        <v>0.86641501189496983</v>
      </c>
      <c r="V81" s="185">
        <f t="shared" ca="1" si="19"/>
        <v>0.88052912829786345</v>
      </c>
      <c r="W81" s="185">
        <f t="shared" ca="1" si="19"/>
        <v>0.89846472541757361</v>
      </c>
      <c r="X81" s="185">
        <f t="shared" ca="1" si="19"/>
        <v>0.924453929879961</v>
      </c>
      <c r="Y81" s="185">
        <f t="shared" ca="1" si="19"/>
        <v>0.95243172455088643</v>
      </c>
      <c r="Z81" s="185">
        <f t="shared" ca="1" si="19"/>
        <v>0.98242178863724305</v>
      </c>
      <c r="AA81" s="185">
        <f t="shared" ca="1" si="20"/>
        <v>1.0095477271096585</v>
      </c>
      <c r="AB81" s="185">
        <f t="shared" ca="1" si="20"/>
        <v>1.0404197110764015</v>
      </c>
      <c r="AC81" s="185">
        <f t="shared" ca="1" si="20"/>
        <v>1.0654259634009176</v>
      </c>
      <c r="AD81" s="185">
        <f t="shared" ca="1" si="20"/>
        <v>1.088614385325956</v>
      </c>
      <c r="AE81" s="185">
        <f t="shared" ca="1" si="20"/>
        <v>1.1133102763627563</v>
      </c>
      <c r="AF81" s="185">
        <f t="shared" ca="1" si="20"/>
        <v>1.1390702632431531</v>
      </c>
      <c r="AG81" s="185">
        <f t="shared" ca="1" si="20"/>
        <v>1.1653179607185316</v>
      </c>
      <c r="AH81" s="185">
        <f t="shared" ca="1" si="20"/>
        <v>1.1943145724565341</v>
      </c>
      <c r="AI81" s="185">
        <f t="shared" ca="1" si="20"/>
        <v>1.2244639546917662</v>
      </c>
      <c r="AJ81" s="185">
        <f t="shared" ca="1" si="20"/>
        <v>1.2546576742538147</v>
      </c>
      <c r="AK81" s="185">
        <f t="shared" ca="1" si="20"/>
        <v>1.2860041643130928</v>
      </c>
      <c r="AL81" s="185">
        <f t="shared" ca="1" si="20"/>
        <v>1.3195675207131967</v>
      </c>
      <c r="AM81" s="185">
        <f t="shared" ca="1" si="20"/>
        <v>1.4822411728029994</v>
      </c>
      <c r="AN81" s="185">
        <f t="shared" ca="1" si="20"/>
        <v>1.6848184190276685</v>
      </c>
      <c r="AO81" s="185">
        <f t="shared" ca="1" si="20"/>
        <v>2.0434187183196673</v>
      </c>
      <c r="AP81" s="185">
        <f t="shared" ca="1" si="20"/>
        <v>2.4086696166341435</v>
      </c>
    </row>
    <row r="82" spans="1:42">
      <c r="A82" s="57" t="str">
        <f>'[4]TS BYDem'!A21</f>
        <v>*</v>
      </c>
      <c r="B82" s="185" t="s">
        <v>288</v>
      </c>
      <c r="C82" s="185" t="s">
        <v>137</v>
      </c>
      <c r="D82" s="185" t="str">
        <f>'[4]TS BYDem'!D21</f>
        <v>IMIS</v>
      </c>
      <c r="E82" s="185" t="s">
        <v>137</v>
      </c>
      <c r="F82" s="185" t="s">
        <v>137</v>
      </c>
      <c r="G82" s="185" t="s">
        <v>137</v>
      </c>
      <c r="H82" s="185" t="s">
        <v>137</v>
      </c>
      <c r="I82" s="185">
        <v>0</v>
      </c>
      <c r="J82" s="185">
        <f>INDEX('[4]TS BYDem'!$J$10:$J$203,MATCH(D82,'[4]TS BYDem'!$D$10:$D$203,0))</f>
        <v>20.275122960000004</v>
      </c>
      <c r="K82" s="185">
        <f t="shared" ca="1" si="19"/>
        <v>20.809992081544721</v>
      </c>
      <c r="L82" s="185">
        <f t="shared" ca="1" si="19"/>
        <v>20.847372842772632</v>
      </c>
      <c r="M82" s="185">
        <f t="shared" ca="1" si="19"/>
        <v>21.377183659261441</v>
      </c>
      <c r="N82" s="185">
        <f t="shared" ca="1" si="19"/>
        <v>21.051515231302332</v>
      </c>
      <c r="O82" s="185">
        <f t="shared" ca="1" si="19"/>
        <v>21.595161411752844</v>
      </c>
      <c r="P82" s="185">
        <f t="shared" ca="1" si="19"/>
        <v>21.433199108160839</v>
      </c>
      <c r="Q82" s="185">
        <f t="shared" ca="1" si="19"/>
        <v>21.131223365410005</v>
      </c>
      <c r="R82" s="185">
        <f t="shared" ca="1" si="19"/>
        <v>19.47371130150778</v>
      </c>
      <c r="S82" s="185">
        <f t="shared" ca="1" si="19"/>
        <v>19.897478278850741</v>
      </c>
      <c r="T82" s="185">
        <f t="shared" ca="1" si="19"/>
        <v>20.259137449674725</v>
      </c>
      <c r="U82" s="185">
        <f t="shared" ca="1" si="19"/>
        <v>20.604838784120886</v>
      </c>
      <c r="V82" s="185">
        <f t="shared" ca="1" si="19"/>
        <v>20.94049674141537</v>
      </c>
      <c r="W82" s="185">
        <f t="shared" ca="1" si="19"/>
        <v>21.367036081194687</v>
      </c>
      <c r="X82" s="185">
        <f t="shared" ca="1" si="19"/>
        <v>21.985104051766697</v>
      </c>
      <c r="Y82" s="185">
        <f t="shared" ca="1" si="19"/>
        <v>22.650464116880087</v>
      </c>
      <c r="Z82" s="185">
        <f t="shared" ca="1" si="19"/>
        <v>23.363679408791189</v>
      </c>
      <c r="AA82" s="185">
        <f t="shared" ca="1" si="20"/>
        <v>24.00878086873664</v>
      </c>
      <c r="AB82" s="185">
        <f t="shared" ca="1" si="20"/>
        <v>24.74296973186522</v>
      </c>
      <c r="AC82" s="185">
        <f t="shared" ca="1" si="20"/>
        <v>25.337661410411716</v>
      </c>
      <c r="AD82" s="185">
        <f t="shared" ca="1" si="20"/>
        <v>25.88912195629791</v>
      </c>
      <c r="AE82" s="185">
        <f t="shared" ca="1" si="20"/>
        <v>26.476432709756057</v>
      </c>
      <c r="AF82" s="185">
        <f t="shared" ca="1" si="20"/>
        <v>27.089049492088527</v>
      </c>
      <c r="AG82" s="185">
        <f t="shared" ca="1" si="20"/>
        <v>27.713264870988393</v>
      </c>
      <c r="AH82" s="185">
        <f t="shared" ca="1" si="20"/>
        <v>28.402854157813582</v>
      </c>
      <c r="AI82" s="185">
        <f t="shared" ca="1" si="20"/>
        <v>29.119858309252617</v>
      </c>
      <c r="AJ82" s="185">
        <f t="shared" ca="1" si="20"/>
        <v>29.837916878561412</v>
      </c>
      <c r="AK82" s="185">
        <f t="shared" ca="1" si="20"/>
        <v>30.58339031248406</v>
      </c>
      <c r="AL82" s="185">
        <f t="shared" ca="1" si="20"/>
        <v>31.381584639894864</v>
      </c>
      <c r="AM82" s="185">
        <f t="shared" ca="1" si="20"/>
        <v>35.250243804056346</v>
      </c>
      <c r="AN82" s="185">
        <f t="shared" ca="1" si="20"/>
        <v>40.067879051004795</v>
      </c>
      <c r="AO82" s="185">
        <f t="shared" ca="1" si="20"/>
        <v>48.596010781650342</v>
      </c>
      <c r="AP82" s="185">
        <f t="shared" ca="1" si="20"/>
        <v>57.282305192760383</v>
      </c>
    </row>
    <row r="83" spans="1:42">
      <c r="A83" s="57" t="str">
        <f>'[4]TS BYDem'!A22</f>
        <v>*</v>
      </c>
      <c r="B83" s="185" t="s">
        <v>288</v>
      </c>
      <c r="C83" s="185" t="s">
        <v>137</v>
      </c>
      <c r="D83" s="185" t="str">
        <f>'[4]TS BYDem'!D22</f>
        <v>IMIS</v>
      </c>
      <c r="E83" s="185" t="s">
        <v>137</v>
      </c>
      <c r="F83" s="185" t="s">
        <v>137</v>
      </c>
      <c r="G83" s="185" t="s">
        <v>137</v>
      </c>
      <c r="H83" s="185" t="s">
        <v>137</v>
      </c>
      <c r="I83" s="185">
        <v>0</v>
      </c>
      <c r="J83" s="185">
        <f>INDEX('[4]TS BYDem'!$J$10:$J$203,MATCH(D83,'[4]TS BYDem'!$D$10:$D$203,0))</f>
        <v>20.275122960000004</v>
      </c>
      <c r="K83" s="185">
        <f t="shared" ca="1" si="19"/>
        <v>20.809992081544721</v>
      </c>
      <c r="L83" s="185">
        <f t="shared" ca="1" si="19"/>
        <v>20.847372842772632</v>
      </c>
      <c r="M83" s="185">
        <f t="shared" ca="1" si="19"/>
        <v>21.377183659261441</v>
      </c>
      <c r="N83" s="185">
        <f t="shared" ca="1" si="19"/>
        <v>21.051515231302332</v>
      </c>
      <c r="O83" s="185">
        <f t="shared" ca="1" si="19"/>
        <v>21.595161411752844</v>
      </c>
      <c r="P83" s="185">
        <f t="shared" ca="1" si="19"/>
        <v>21.433199108160839</v>
      </c>
      <c r="Q83" s="185">
        <f t="shared" ca="1" si="19"/>
        <v>21.131223365410005</v>
      </c>
      <c r="R83" s="185">
        <f t="shared" ca="1" si="19"/>
        <v>19.47371130150778</v>
      </c>
      <c r="S83" s="185">
        <f t="shared" ca="1" si="19"/>
        <v>19.897478278850741</v>
      </c>
      <c r="T83" s="185">
        <f t="shared" ca="1" si="19"/>
        <v>20.259137449674725</v>
      </c>
      <c r="U83" s="185">
        <f t="shared" ca="1" si="19"/>
        <v>20.604838784120886</v>
      </c>
      <c r="V83" s="185">
        <f t="shared" ca="1" si="19"/>
        <v>20.94049674141537</v>
      </c>
      <c r="W83" s="185">
        <f t="shared" ca="1" si="19"/>
        <v>21.367036081194687</v>
      </c>
      <c r="X83" s="185">
        <f t="shared" ca="1" si="19"/>
        <v>21.985104051766697</v>
      </c>
      <c r="Y83" s="185">
        <f t="shared" ca="1" si="19"/>
        <v>22.650464116880087</v>
      </c>
      <c r="Z83" s="185">
        <f t="shared" ca="1" si="19"/>
        <v>23.363679408791189</v>
      </c>
      <c r="AA83" s="185">
        <f t="shared" ca="1" si="20"/>
        <v>24.00878086873664</v>
      </c>
      <c r="AB83" s="185">
        <f t="shared" ca="1" si="20"/>
        <v>24.74296973186522</v>
      </c>
      <c r="AC83" s="185">
        <f t="shared" ca="1" si="20"/>
        <v>25.337661410411716</v>
      </c>
      <c r="AD83" s="185">
        <f t="shared" ca="1" si="20"/>
        <v>25.88912195629791</v>
      </c>
      <c r="AE83" s="185">
        <f t="shared" ca="1" si="20"/>
        <v>26.476432709756057</v>
      </c>
      <c r="AF83" s="185">
        <f t="shared" ca="1" si="20"/>
        <v>27.089049492088527</v>
      </c>
      <c r="AG83" s="185">
        <f t="shared" ca="1" si="20"/>
        <v>27.713264870988393</v>
      </c>
      <c r="AH83" s="185">
        <f t="shared" ca="1" si="20"/>
        <v>28.402854157813582</v>
      </c>
      <c r="AI83" s="185">
        <f t="shared" ca="1" si="20"/>
        <v>29.119858309252617</v>
      </c>
      <c r="AJ83" s="185">
        <f t="shared" ca="1" si="20"/>
        <v>29.837916878561412</v>
      </c>
      <c r="AK83" s="185">
        <f t="shared" ca="1" si="20"/>
        <v>30.58339031248406</v>
      </c>
      <c r="AL83" s="185">
        <f t="shared" ca="1" si="20"/>
        <v>31.381584639894864</v>
      </c>
      <c r="AM83" s="185">
        <f t="shared" ca="1" si="20"/>
        <v>35.250243804056346</v>
      </c>
      <c r="AN83" s="185">
        <f t="shared" ca="1" si="20"/>
        <v>40.067879051004795</v>
      </c>
      <c r="AO83" s="185">
        <f t="shared" ca="1" si="20"/>
        <v>48.596010781650342</v>
      </c>
      <c r="AP83" s="185">
        <f t="shared" ca="1" si="20"/>
        <v>57.282305192760383</v>
      </c>
    </row>
    <row r="84" spans="1:42">
      <c r="A84" s="57" t="str">
        <f>'[4]TS BYDem'!A23</f>
        <v>*</v>
      </c>
      <c r="B84" s="185" t="s">
        <v>288</v>
      </c>
      <c r="C84" s="185" t="s">
        <v>137</v>
      </c>
      <c r="D84" s="185" t="str">
        <f>'[4]TS BYDem'!D23</f>
        <v>IMIS</v>
      </c>
      <c r="E84" s="185" t="s">
        <v>137</v>
      </c>
      <c r="F84" s="185" t="s">
        <v>137</v>
      </c>
      <c r="G84" s="185" t="s">
        <v>137</v>
      </c>
      <c r="H84" s="185" t="s">
        <v>137</v>
      </c>
      <c r="I84" s="185">
        <v>0</v>
      </c>
      <c r="J84" s="185">
        <f>INDEX('[4]TS BYDem'!$J$10:$J$203,MATCH(D84,'[4]TS BYDem'!$D$10:$D$203,0))</f>
        <v>20.275122960000004</v>
      </c>
      <c r="K84" s="185">
        <f t="shared" ca="1" si="19"/>
        <v>20.809992081544721</v>
      </c>
      <c r="L84" s="185">
        <f t="shared" ca="1" si="19"/>
        <v>20.847372842772632</v>
      </c>
      <c r="M84" s="185">
        <f t="shared" ca="1" si="19"/>
        <v>21.377183659261441</v>
      </c>
      <c r="N84" s="185">
        <f t="shared" ca="1" si="19"/>
        <v>21.051515231302332</v>
      </c>
      <c r="O84" s="185">
        <f t="shared" ca="1" si="19"/>
        <v>21.595161411752844</v>
      </c>
      <c r="P84" s="185">
        <f t="shared" ca="1" si="19"/>
        <v>21.433199108160839</v>
      </c>
      <c r="Q84" s="185">
        <f t="shared" ca="1" si="19"/>
        <v>21.131223365410005</v>
      </c>
      <c r="R84" s="185">
        <f t="shared" ca="1" si="19"/>
        <v>19.47371130150778</v>
      </c>
      <c r="S84" s="185">
        <f t="shared" ca="1" si="19"/>
        <v>19.897478278850741</v>
      </c>
      <c r="T84" s="185">
        <f t="shared" ca="1" si="19"/>
        <v>20.259137449674725</v>
      </c>
      <c r="U84" s="185">
        <f t="shared" ca="1" si="19"/>
        <v>20.604838784120886</v>
      </c>
      <c r="V84" s="185">
        <f t="shared" ca="1" si="19"/>
        <v>20.94049674141537</v>
      </c>
      <c r="W84" s="185">
        <f t="shared" ca="1" si="19"/>
        <v>21.367036081194687</v>
      </c>
      <c r="X84" s="185">
        <f t="shared" ca="1" si="19"/>
        <v>21.985104051766697</v>
      </c>
      <c r="Y84" s="185">
        <f t="shared" ca="1" si="19"/>
        <v>22.650464116880087</v>
      </c>
      <c r="Z84" s="185">
        <f t="shared" ca="1" si="19"/>
        <v>23.363679408791189</v>
      </c>
      <c r="AA84" s="185">
        <f t="shared" ca="1" si="20"/>
        <v>24.00878086873664</v>
      </c>
      <c r="AB84" s="185">
        <f t="shared" ca="1" si="20"/>
        <v>24.74296973186522</v>
      </c>
      <c r="AC84" s="185">
        <f t="shared" ca="1" si="20"/>
        <v>25.337661410411716</v>
      </c>
      <c r="AD84" s="185">
        <f t="shared" ca="1" si="20"/>
        <v>25.88912195629791</v>
      </c>
      <c r="AE84" s="185">
        <f t="shared" ca="1" si="20"/>
        <v>26.476432709756057</v>
      </c>
      <c r="AF84" s="185">
        <f t="shared" ca="1" si="20"/>
        <v>27.089049492088527</v>
      </c>
      <c r="AG84" s="185">
        <f t="shared" ca="1" si="20"/>
        <v>27.713264870988393</v>
      </c>
      <c r="AH84" s="185">
        <f t="shared" ca="1" si="20"/>
        <v>28.402854157813582</v>
      </c>
      <c r="AI84" s="185">
        <f t="shared" ca="1" si="20"/>
        <v>29.119858309252617</v>
      </c>
      <c r="AJ84" s="185">
        <f t="shared" ca="1" si="20"/>
        <v>29.837916878561412</v>
      </c>
      <c r="AK84" s="185">
        <f t="shared" ca="1" si="20"/>
        <v>30.58339031248406</v>
      </c>
      <c r="AL84" s="185">
        <f t="shared" ca="1" si="20"/>
        <v>31.381584639894864</v>
      </c>
      <c r="AM84" s="185">
        <f t="shared" ca="1" si="20"/>
        <v>35.250243804056346</v>
      </c>
      <c r="AN84" s="185">
        <f t="shared" ca="1" si="20"/>
        <v>40.067879051004795</v>
      </c>
      <c r="AO84" s="185">
        <f t="shared" ca="1" si="20"/>
        <v>48.596010781650342</v>
      </c>
      <c r="AP84" s="185">
        <f t="shared" ca="1" si="20"/>
        <v>57.282305192760383</v>
      </c>
    </row>
    <row r="85" spans="1:42">
      <c r="A85" s="57" t="str">
        <f>'[4]TS BYDem'!A24</f>
        <v>*</v>
      </c>
      <c r="B85" s="185" t="s">
        <v>288</v>
      </c>
      <c r="C85" s="185" t="s">
        <v>137</v>
      </c>
      <c r="D85" s="185" t="str">
        <f>'[4]TS BYDem'!D24</f>
        <v>IMIS</v>
      </c>
      <c r="E85" s="185" t="s">
        <v>137</v>
      </c>
      <c r="F85" s="185" t="s">
        <v>137</v>
      </c>
      <c r="G85" s="185" t="s">
        <v>137</v>
      </c>
      <c r="H85" s="185" t="s">
        <v>137</v>
      </c>
      <c r="I85" s="185">
        <v>0</v>
      </c>
      <c r="J85" s="185">
        <f>INDEX('[4]TS BYDem'!$J$10:$J$203,MATCH(D85,'[4]TS BYDem'!$D$10:$D$203,0))</f>
        <v>20.275122960000004</v>
      </c>
      <c r="K85" s="185">
        <f t="shared" ca="1" si="19"/>
        <v>20.809992081544721</v>
      </c>
      <c r="L85" s="185">
        <f t="shared" ca="1" si="19"/>
        <v>20.847372842772632</v>
      </c>
      <c r="M85" s="185">
        <f t="shared" ca="1" si="19"/>
        <v>21.377183659261441</v>
      </c>
      <c r="N85" s="185">
        <f t="shared" ca="1" si="19"/>
        <v>21.051515231302332</v>
      </c>
      <c r="O85" s="185">
        <f t="shared" ca="1" si="19"/>
        <v>21.595161411752844</v>
      </c>
      <c r="P85" s="185">
        <f t="shared" ca="1" si="19"/>
        <v>21.433199108160839</v>
      </c>
      <c r="Q85" s="185">
        <f t="shared" ca="1" si="19"/>
        <v>21.131223365410005</v>
      </c>
      <c r="R85" s="185">
        <f t="shared" ca="1" si="19"/>
        <v>19.47371130150778</v>
      </c>
      <c r="S85" s="185">
        <f t="shared" ca="1" si="19"/>
        <v>19.897478278850741</v>
      </c>
      <c r="T85" s="185">
        <f t="shared" ca="1" si="19"/>
        <v>20.259137449674725</v>
      </c>
      <c r="U85" s="185">
        <f t="shared" ca="1" si="19"/>
        <v>20.604838784120886</v>
      </c>
      <c r="V85" s="185">
        <f t="shared" ca="1" si="19"/>
        <v>20.94049674141537</v>
      </c>
      <c r="W85" s="185">
        <f t="shared" ca="1" si="19"/>
        <v>21.367036081194687</v>
      </c>
      <c r="X85" s="185">
        <f t="shared" ca="1" si="19"/>
        <v>21.985104051766697</v>
      </c>
      <c r="Y85" s="185">
        <f t="shared" ca="1" si="19"/>
        <v>22.650464116880087</v>
      </c>
      <c r="Z85" s="185">
        <f t="shared" ca="1" si="19"/>
        <v>23.363679408791189</v>
      </c>
      <c r="AA85" s="185">
        <f t="shared" ca="1" si="20"/>
        <v>24.00878086873664</v>
      </c>
      <c r="AB85" s="185">
        <f t="shared" ca="1" si="20"/>
        <v>24.74296973186522</v>
      </c>
      <c r="AC85" s="185">
        <f t="shared" ca="1" si="20"/>
        <v>25.337661410411716</v>
      </c>
      <c r="AD85" s="185">
        <f t="shared" ca="1" si="20"/>
        <v>25.88912195629791</v>
      </c>
      <c r="AE85" s="185">
        <f t="shared" ca="1" si="20"/>
        <v>26.476432709756057</v>
      </c>
      <c r="AF85" s="185">
        <f t="shared" ca="1" si="20"/>
        <v>27.089049492088527</v>
      </c>
      <c r="AG85" s="185">
        <f t="shared" ca="1" si="20"/>
        <v>27.713264870988393</v>
      </c>
      <c r="AH85" s="185">
        <f t="shared" ca="1" si="20"/>
        <v>28.402854157813582</v>
      </c>
      <c r="AI85" s="185">
        <f t="shared" ca="1" si="20"/>
        <v>29.119858309252617</v>
      </c>
      <c r="AJ85" s="185">
        <f t="shared" ca="1" si="20"/>
        <v>29.837916878561412</v>
      </c>
      <c r="AK85" s="185">
        <f t="shared" ca="1" si="20"/>
        <v>30.58339031248406</v>
      </c>
      <c r="AL85" s="185">
        <f t="shared" ca="1" si="20"/>
        <v>31.381584639894864</v>
      </c>
      <c r="AM85" s="185">
        <f t="shared" ca="1" si="20"/>
        <v>35.250243804056346</v>
      </c>
      <c r="AN85" s="185">
        <f t="shared" ca="1" si="20"/>
        <v>40.067879051004795</v>
      </c>
      <c r="AO85" s="185">
        <f t="shared" ca="1" si="20"/>
        <v>48.596010781650342</v>
      </c>
      <c r="AP85" s="185">
        <f t="shared" ca="1" si="20"/>
        <v>57.282305192760383</v>
      </c>
    </row>
    <row r="86" spans="1:42">
      <c r="A86" s="57" t="str">
        <f>'[4]TS BYDem'!A25</f>
        <v>*</v>
      </c>
      <c r="B86" s="185" t="s">
        <v>288</v>
      </c>
      <c r="C86" s="185" t="s">
        <v>137</v>
      </c>
      <c r="D86" s="185" t="str">
        <f>'[4]TS BYDem'!D25</f>
        <v>IMIS</v>
      </c>
      <c r="E86" s="185" t="s">
        <v>137</v>
      </c>
      <c r="F86" s="185" t="s">
        <v>137</v>
      </c>
      <c r="G86" s="185" t="s">
        <v>137</v>
      </c>
      <c r="H86" s="185" t="s">
        <v>137</v>
      </c>
      <c r="I86" s="185">
        <v>0</v>
      </c>
      <c r="J86" s="185">
        <f>INDEX('[4]TS BYDem'!$J$10:$J$203,MATCH(D86,'[4]TS BYDem'!$D$10:$D$203,0))</f>
        <v>20.275122960000004</v>
      </c>
      <c r="K86" s="185">
        <f t="shared" ca="1" si="19"/>
        <v>20.809992081544721</v>
      </c>
      <c r="L86" s="185">
        <f t="shared" ca="1" si="19"/>
        <v>20.847372842772632</v>
      </c>
      <c r="M86" s="185">
        <f t="shared" ca="1" si="19"/>
        <v>21.377183659261441</v>
      </c>
      <c r="N86" s="185">
        <f t="shared" ca="1" si="19"/>
        <v>21.051515231302332</v>
      </c>
      <c r="O86" s="185">
        <f t="shared" ca="1" si="19"/>
        <v>21.595161411752844</v>
      </c>
      <c r="P86" s="185">
        <f t="shared" ca="1" si="19"/>
        <v>21.433199108160839</v>
      </c>
      <c r="Q86" s="185">
        <f t="shared" ca="1" si="19"/>
        <v>21.131223365410005</v>
      </c>
      <c r="R86" s="185">
        <f t="shared" ca="1" si="19"/>
        <v>19.47371130150778</v>
      </c>
      <c r="S86" s="185">
        <f t="shared" ca="1" si="19"/>
        <v>19.897478278850741</v>
      </c>
      <c r="T86" s="185">
        <f t="shared" ca="1" si="19"/>
        <v>20.259137449674725</v>
      </c>
      <c r="U86" s="185">
        <f t="shared" ca="1" si="19"/>
        <v>20.604838784120886</v>
      </c>
      <c r="V86" s="185">
        <f t="shared" ca="1" si="19"/>
        <v>20.94049674141537</v>
      </c>
      <c r="W86" s="185">
        <f t="shared" ca="1" si="19"/>
        <v>21.367036081194687</v>
      </c>
      <c r="X86" s="185">
        <f t="shared" ca="1" si="19"/>
        <v>21.985104051766697</v>
      </c>
      <c r="Y86" s="185">
        <f t="shared" ca="1" si="19"/>
        <v>22.650464116880087</v>
      </c>
      <c r="Z86" s="185">
        <f t="shared" ca="1" si="19"/>
        <v>23.363679408791189</v>
      </c>
      <c r="AA86" s="185">
        <f t="shared" ca="1" si="20"/>
        <v>24.00878086873664</v>
      </c>
      <c r="AB86" s="185">
        <f t="shared" ca="1" si="20"/>
        <v>24.74296973186522</v>
      </c>
      <c r="AC86" s="185">
        <f t="shared" ca="1" si="20"/>
        <v>25.337661410411716</v>
      </c>
      <c r="AD86" s="185">
        <f t="shared" ca="1" si="20"/>
        <v>25.88912195629791</v>
      </c>
      <c r="AE86" s="185">
        <f t="shared" ca="1" si="20"/>
        <v>26.476432709756057</v>
      </c>
      <c r="AF86" s="185">
        <f t="shared" ca="1" si="20"/>
        <v>27.089049492088527</v>
      </c>
      <c r="AG86" s="185">
        <f t="shared" ca="1" si="20"/>
        <v>27.713264870988393</v>
      </c>
      <c r="AH86" s="185">
        <f t="shared" ca="1" si="20"/>
        <v>28.402854157813582</v>
      </c>
      <c r="AI86" s="185">
        <f t="shared" ca="1" si="20"/>
        <v>29.119858309252617</v>
      </c>
      <c r="AJ86" s="185">
        <f t="shared" ca="1" si="20"/>
        <v>29.837916878561412</v>
      </c>
      <c r="AK86" s="185">
        <f t="shared" ca="1" si="20"/>
        <v>30.58339031248406</v>
      </c>
      <c r="AL86" s="185">
        <f t="shared" ca="1" si="20"/>
        <v>31.381584639894864</v>
      </c>
      <c r="AM86" s="185">
        <f t="shared" ca="1" si="20"/>
        <v>35.250243804056346</v>
      </c>
      <c r="AN86" s="185">
        <f t="shared" ca="1" si="20"/>
        <v>40.067879051004795</v>
      </c>
      <c r="AO86" s="185">
        <f t="shared" ca="1" si="20"/>
        <v>48.596010781650342</v>
      </c>
      <c r="AP86" s="185">
        <f t="shared" ref="AP86:AP90" ca="1" si="24">AP$70/AO$70*AO86</f>
        <v>57.282305192760383</v>
      </c>
    </row>
    <row r="87" spans="1:42">
      <c r="A87" s="57" t="str">
        <f>'[4]TS BYDem'!A26</f>
        <v>*</v>
      </c>
      <c r="B87" s="185" t="s">
        <v>288</v>
      </c>
      <c r="C87" s="185" t="s">
        <v>137</v>
      </c>
      <c r="D87" s="185">
        <f>'[4]TS BYDem'!D26</f>
        <v>0</v>
      </c>
      <c r="E87" s="185" t="s">
        <v>137</v>
      </c>
      <c r="F87" s="185" t="s">
        <v>137</v>
      </c>
      <c r="G87" s="185" t="s">
        <v>137</v>
      </c>
      <c r="H87" s="185" t="s">
        <v>137</v>
      </c>
      <c r="I87" s="185">
        <v>0</v>
      </c>
      <c r="J87" s="185" t="str">
        <f>INDEX('[4]TS BYDem'!$J$10:$J$203,MATCH(D87,'[4]TS BYDem'!$D$10:$D$203,0))</f>
        <v/>
      </c>
      <c r="K87" s="185" t="e">
        <f t="shared" ref="K87:Z90" ca="1" si="25">K$70/J$70*J87</f>
        <v>#VALUE!</v>
      </c>
      <c r="L87" s="185" t="e">
        <f t="shared" ca="1" si="25"/>
        <v>#VALUE!</v>
      </c>
      <c r="M87" s="185" t="e">
        <f t="shared" ca="1" si="25"/>
        <v>#VALUE!</v>
      </c>
      <c r="N87" s="185" t="e">
        <f t="shared" ca="1" si="25"/>
        <v>#VALUE!</v>
      </c>
      <c r="O87" s="185" t="e">
        <f t="shared" ca="1" si="25"/>
        <v>#VALUE!</v>
      </c>
      <c r="P87" s="185" t="e">
        <f t="shared" ca="1" si="25"/>
        <v>#VALUE!</v>
      </c>
      <c r="Q87" s="185" t="e">
        <f t="shared" ca="1" si="25"/>
        <v>#VALUE!</v>
      </c>
      <c r="R87" s="185" t="e">
        <f t="shared" ca="1" si="25"/>
        <v>#VALUE!</v>
      </c>
      <c r="S87" s="185" t="e">
        <f t="shared" ca="1" si="25"/>
        <v>#VALUE!</v>
      </c>
      <c r="T87" s="185" t="e">
        <f t="shared" ca="1" si="25"/>
        <v>#VALUE!</v>
      </c>
      <c r="U87" s="185" t="e">
        <f t="shared" ca="1" si="25"/>
        <v>#VALUE!</v>
      </c>
      <c r="V87" s="185" t="e">
        <f t="shared" ca="1" si="25"/>
        <v>#VALUE!</v>
      </c>
      <c r="W87" s="185" t="e">
        <f t="shared" ca="1" si="25"/>
        <v>#VALUE!</v>
      </c>
      <c r="X87" s="185" t="e">
        <f t="shared" ca="1" si="25"/>
        <v>#VALUE!</v>
      </c>
      <c r="Y87" s="185" t="e">
        <f t="shared" ca="1" si="25"/>
        <v>#VALUE!</v>
      </c>
      <c r="Z87" s="185" t="e">
        <f t="shared" ca="1" si="25"/>
        <v>#VALUE!</v>
      </c>
      <c r="AA87" s="185" t="e">
        <f t="shared" ref="AA87:AO90" ca="1" si="26">AA$70/Z$70*Z87</f>
        <v>#VALUE!</v>
      </c>
      <c r="AB87" s="185" t="e">
        <f t="shared" ca="1" si="26"/>
        <v>#VALUE!</v>
      </c>
      <c r="AC87" s="185" t="e">
        <f t="shared" ca="1" si="26"/>
        <v>#VALUE!</v>
      </c>
      <c r="AD87" s="185" t="e">
        <f t="shared" ca="1" si="26"/>
        <v>#VALUE!</v>
      </c>
      <c r="AE87" s="185" t="e">
        <f t="shared" ca="1" si="26"/>
        <v>#VALUE!</v>
      </c>
      <c r="AF87" s="185" t="e">
        <f t="shared" ca="1" si="26"/>
        <v>#VALUE!</v>
      </c>
      <c r="AG87" s="185" t="e">
        <f t="shared" ca="1" si="26"/>
        <v>#VALUE!</v>
      </c>
      <c r="AH87" s="185" t="e">
        <f t="shared" ca="1" si="26"/>
        <v>#VALUE!</v>
      </c>
      <c r="AI87" s="185" t="e">
        <f t="shared" ca="1" si="26"/>
        <v>#VALUE!</v>
      </c>
      <c r="AJ87" s="185" t="e">
        <f t="shared" ca="1" si="26"/>
        <v>#VALUE!</v>
      </c>
      <c r="AK87" s="185" t="e">
        <f t="shared" ca="1" si="26"/>
        <v>#VALUE!</v>
      </c>
      <c r="AL87" s="185" t="e">
        <f t="shared" ca="1" si="26"/>
        <v>#VALUE!</v>
      </c>
      <c r="AM87" s="185" t="e">
        <f t="shared" ca="1" si="26"/>
        <v>#VALUE!</v>
      </c>
      <c r="AN87" s="185" t="e">
        <f t="shared" ca="1" si="26"/>
        <v>#VALUE!</v>
      </c>
      <c r="AO87" s="185" t="e">
        <f t="shared" ca="1" si="26"/>
        <v>#VALUE!</v>
      </c>
      <c r="AP87" s="185" t="e">
        <f t="shared" ca="1" si="24"/>
        <v>#VALUE!</v>
      </c>
    </row>
    <row r="88" spans="1:42">
      <c r="A88" s="57" t="str">
        <f>'[4]TS BYDem'!A27</f>
        <v/>
      </c>
      <c r="B88" s="185" t="s">
        <v>288</v>
      </c>
      <c r="C88" s="185" t="s">
        <v>137</v>
      </c>
      <c r="D88" s="185" t="str">
        <f>'[4]TS BYDem'!D27</f>
        <v>IMIR</v>
      </c>
      <c r="E88" s="185" t="s">
        <v>137</v>
      </c>
      <c r="F88" s="185" t="s">
        <v>137</v>
      </c>
      <c r="G88" s="185" t="s">
        <v>137</v>
      </c>
      <c r="H88" s="185" t="s">
        <v>137</v>
      </c>
      <c r="I88" s="185">
        <v>0</v>
      </c>
      <c r="J88" s="185">
        <f>INDEX('[4]TS BYDem'!$J$10:$J$203,MATCH(D88,'[4]TS BYDem'!$D$10:$D$203,0))</f>
        <v>51.488523217763458</v>
      </c>
      <c r="K88" s="185">
        <f t="shared" ca="1" si="25"/>
        <v>52.846819354238278</v>
      </c>
      <c r="L88" s="185">
        <f t="shared" ca="1" si="25"/>
        <v>52.941747517987423</v>
      </c>
      <c r="M88" s="192">
        <f t="shared" ref="M88" si="27">O88</f>
        <v>46.045999999999999</v>
      </c>
      <c r="N88" s="192">
        <f t="shared" ref="N88" si="28">O88</f>
        <v>46.045999999999999</v>
      </c>
      <c r="O88" s="192">
        <f>INDEX('[4]TS BYDem'!$O$10:$O$203,MATCH(D88,'[4]TS BYDem'!$D$10:$D$203,0))</f>
        <v>46.045999999999999</v>
      </c>
      <c r="P88" s="185">
        <f t="shared" ca="1" si="25"/>
        <v>45.700658000049089</v>
      </c>
      <c r="Q88" s="185">
        <f t="shared" ca="1" si="25"/>
        <v>45.056774178780799</v>
      </c>
      <c r="R88" s="185">
        <f t="shared" ca="1" si="25"/>
        <v>41.52256579574437</v>
      </c>
      <c r="S88" s="185">
        <f t="shared" ca="1" si="25"/>
        <v>42.426137381373472</v>
      </c>
      <c r="T88" s="185">
        <f t="shared" ca="1" si="25"/>
        <v>43.197280410232615</v>
      </c>
      <c r="U88" s="185">
        <f t="shared" ca="1" si="25"/>
        <v>43.934397551540236</v>
      </c>
      <c r="V88" s="185">
        <f t="shared" ca="1" si="25"/>
        <v>44.650099833495403</v>
      </c>
      <c r="W88" s="185">
        <f t="shared" ca="1" si="25"/>
        <v>45.559582752608456</v>
      </c>
      <c r="X88" s="185">
        <f t="shared" ca="1" si="25"/>
        <v>46.877450085494893</v>
      </c>
      <c r="Y88" s="185">
        <f t="shared" ca="1" si="25"/>
        <v>48.296155367389069</v>
      </c>
      <c r="Z88" s="185">
        <f t="shared" ca="1" si="25"/>
        <v>49.81689932966691</v>
      </c>
      <c r="AA88" s="185">
        <f t="shared" ca="1" si="26"/>
        <v>51.192408466101611</v>
      </c>
      <c r="AB88" s="185">
        <f t="shared" ca="1" si="26"/>
        <v>52.757873050831222</v>
      </c>
      <c r="AC88" s="185">
        <f t="shared" ca="1" si="26"/>
        <v>54.025896591301219</v>
      </c>
      <c r="AD88" s="185">
        <f t="shared" ca="1" si="26"/>
        <v>55.201741115531362</v>
      </c>
      <c r="AE88" s="185">
        <f t="shared" ca="1" si="26"/>
        <v>56.454026775179912</v>
      </c>
      <c r="AF88" s="185">
        <f t="shared" ca="1" si="26"/>
        <v>57.760270883359112</v>
      </c>
      <c r="AG88" s="185">
        <f t="shared" ca="1" si="26"/>
        <v>59.091245947114849</v>
      </c>
      <c r="AH88" s="185">
        <f t="shared" ca="1" si="26"/>
        <v>60.561613669574733</v>
      </c>
      <c r="AI88" s="185">
        <f t="shared" ca="1" si="26"/>
        <v>62.090436377942815</v>
      </c>
      <c r="AJ88" s="185">
        <f t="shared" ca="1" si="26"/>
        <v>63.621507354999665</v>
      </c>
      <c r="AK88" s="185">
        <f t="shared" ca="1" si="26"/>
        <v>65.21103331796472</v>
      </c>
      <c r="AL88" s="185">
        <f t="shared" ca="1" si="26"/>
        <v>66.912972715368596</v>
      </c>
      <c r="AM88" s="185">
        <f t="shared" ca="1" si="26"/>
        <v>75.16187053448985</v>
      </c>
      <c r="AN88" s="185">
        <f t="shared" ca="1" si="26"/>
        <v>85.434210173510053</v>
      </c>
      <c r="AO88" s="185">
        <f t="shared" ca="1" si="26"/>
        <v>103.61820732833526</v>
      </c>
      <c r="AP88" s="185">
        <f t="shared" ca="1" si="24"/>
        <v>122.13944478647694</v>
      </c>
    </row>
    <row r="89" spans="1:42">
      <c r="A89" s="57" t="str">
        <f>'[4]TS BYDem'!A28</f>
        <v>*</v>
      </c>
      <c r="B89" s="185" t="s">
        <v>288</v>
      </c>
      <c r="C89" s="185" t="s">
        <v>137</v>
      </c>
      <c r="D89" s="185" t="str">
        <f>'[4]TS BYDem'!D28</f>
        <v>Useful Energy Service</v>
      </c>
      <c r="E89" s="185" t="s">
        <v>137</v>
      </c>
      <c r="F89" s="185" t="s">
        <v>137</v>
      </c>
      <c r="G89" s="185" t="s">
        <v>137</v>
      </c>
      <c r="H89" s="185" t="s">
        <v>137</v>
      </c>
      <c r="I89" s="185">
        <v>0</v>
      </c>
      <c r="J89" s="185" t="str">
        <f>INDEX('[4]TS BYDem'!$J$10:$J$203,MATCH(D89,'[4]TS BYDem'!$D$10:$D$203,0))</f>
        <v/>
      </c>
      <c r="K89" s="185" t="e">
        <f t="shared" ca="1" si="25"/>
        <v>#VALUE!</v>
      </c>
      <c r="L89" s="185" t="e">
        <f t="shared" ca="1" si="25"/>
        <v>#VALUE!</v>
      </c>
      <c r="M89" s="185" t="e">
        <f t="shared" ca="1" si="25"/>
        <v>#VALUE!</v>
      </c>
      <c r="N89" s="185" t="e">
        <f t="shared" ca="1" si="25"/>
        <v>#VALUE!</v>
      </c>
      <c r="O89" s="185" t="e">
        <f t="shared" ca="1" si="25"/>
        <v>#VALUE!</v>
      </c>
      <c r="P89" s="185" t="e">
        <f t="shared" ca="1" si="25"/>
        <v>#VALUE!</v>
      </c>
      <c r="Q89" s="185" t="e">
        <f t="shared" ca="1" si="25"/>
        <v>#VALUE!</v>
      </c>
      <c r="R89" s="185" t="e">
        <f t="shared" ca="1" si="25"/>
        <v>#VALUE!</v>
      </c>
      <c r="S89" s="185" t="e">
        <f t="shared" ca="1" si="25"/>
        <v>#VALUE!</v>
      </c>
      <c r="T89" s="185" t="e">
        <f t="shared" ca="1" si="25"/>
        <v>#VALUE!</v>
      </c>
      <c r="U89" s="185" t="e">
        <f t="shared" ca="1" si="25"/>
        <v>#VALUE!</v>
      </c>
      <c r="V89" s="185" t="e">
        <f t="shared" ca="1" si="25"/>
        <v>#VALUE!</v>
      </c>
      <c r="W89" s="185" t="e">
        <f t="shared" ca="1" si="25"/>
        <v>#VALUE!</v>
      </c>
      <c r="X89" s="185" t="e">
        <f t="shared" ca="1" si="25"/>
        <v>#VALUE!</v>
      </c>
      <c r="Y89" s="185" t="e">
        <f t="shared" ca="1" si="25"/>
        <v>#VALUE!</v>
      </c>
      <c r="Z89" s="185" t="e">
        <f t="shared" ca="1" si="25"/>
        <v>#VALUE!</v>
      </c>
      <c r="AA89" s="185" t="e">
        <f t="shared" ca="1" si="26"/>
        <v>#VALUE!</v>
      </c>
      <c r="AB89" s="185" t="e">
        <f t="shared" ca="1" si="26"/>
        <v>#VALUE!</v>
      </c>
      <c r="AC89" s="185" t="e">
        <f t="shared" ca="1" si="26"/>
        <v>#VALUE!</v>
      </c>
      <c r="AD89" s="185" t="e">
        <f t="shared" ca="1" si="26"/>
        <v>#VALUE!</v>
      </c>
      <c r="AE89" s="185" t="e">
        <f t="shared" ca="1" si="26"/>
        <v>#VALUE!</v>
      </c>
      <c r="AF89" s="185" t="e">
        <f t="shared" ca="1" si="26"/>
        <v>#VALUE!</v>
      </c>
      <c r="AG89" s="185" t="e">
        <f t="shared" ca="1" si="26"/>
        <v>#VALUE!</v>
      </c>
      <c r="AH89" s="185" t="e">
        <f t="shared" ca="1" si="26"/>
        <v>#VALUE!</v>
      </c>
      <c r="AI89" s="185" t="e">
        <f t="shared" ca="1" si="26"/>
        <v>#VALUE!</v>
      </c>
      <c r="AJ89" s="185" t="e">
        <f t="shared" ca="1" si="26"/>
        <v>#VALUE!</v>
      </c>
      <c r="AK89" s="185" t="e">
        <f t="shared" ca="1" si="26"/>
        <v>#VALUE!</v>
      </c>
      <c r="AL89" s="185" t="e">
        <f t="shared" ca="1" si="26"/>
        <v>#VALUE!</v>
      </c>
      <c r="AM89" s="185" t="e">
        <f t="shared" ca="1" si="26"/>
        <v>#VALUE!</v>
      </c>
      <c r="AN89" s="185" t="e">
        <f t="shared" ca="1" si="26"/>
        <v>#VALUE!</v>
      </c>
      <c r="AO89" s="185" t="e">
        <f t="shared" ca="1" si="26"/>
        <v>#VALUE!</v>
      </c>
      <c r="AP89" s="185" t="e">
        <f t="shared" ca="1" si="24"/>
        <v>#VALUE!</v>
      </c>
    </row>
    <row r="90" spans="1:42">
      <c r="A90" s="57" t="str">
        <f>'[4]TS BYDem'!A29</f>
        <v>*</v>
      </c>
      <c r="B90" s="185" t="s">
        <v>288</v>
      </c>
      <c r="C90" s="185" t="s">
        <v>137</v>
      </c>
      <c r="D90" s="185">
        <f>'[4]TS BYDem'!D29</f>
        <v>0</v>
      </c>
      <c r="E90" s="185" t="s">
        <v>137</v>
      </c>
      <c r="F90" s="185" t="s">
        <v>137</v>
      </c>
      <c r="G90" s="185" t="s">
        <v>137</v>
      </c>
      <c r="H90" s="185" t="s">
        <v>137</v>
      </c>
      <c r="I90" s="185">
        <v>0</v>
      </c>
      <c r="J90" s="185" t="str">
        <f>INDEX('[4]TS BYDem'!$J$10:$J$203,MATCH(D90,'[4]TS BYDem'!$D$10:$D$203,0))</f>
        <v/>
      </c>
      <c r="K90" s="185" t="e">
        <f t="shared" ca="1" si="25"/>
        <v>#VALUE!</v>
      </c>
      <c r="L90" s="185" t="e">
        <f t="shared" ca="1" si="25"/>
        <v>#VALUE!</v>
      </c>
      <c r="M90" s="185" t="e">
        <f t="shared" ca="1" si="25"/>
        <v>#VALUE!</v>
      </c>
      <c r="N90" s="185" t="e">
        <f t="shared" ca="1" si="25"/>
        <v>#VALUE!</v>
      </c>
      <c r="O90" s="185" t="e">
        <f t="shared" ca="1" si="25"/>
        <v>#VALUE!</v>
      </c>
      <c r="P90" s="185" t="e">
        <f t="shared" ca="1" si="25"/>
        <v>#VALUE!</v>
      </c>
      <c r="Q90" s="185" t="e">
        <f t="shared" ca="1" si="25"/>
        <v>#VALUE!</v>
      </c>
      <c r="R90" s="185" t="e">
        <f t="shared" ca="1" si="25"/>
        <v>#VALUE!</v>
      </c>
      <c r="S90" s="185" t="e">
        <f t="shared" ca="1" si="25"/>
        <v>#VALUE!</v>
      </c>
      <c r="T90" s="185" t="e">
        <f t="shared" ca="1" si="25"/>
        <v>#VALUE!</v>
      </c>
      <c r="U90" s="185" t="e">
        <f t="shared" ca="1" si="25"/>
        <v>#VALUE!</v>
      </c>
      <c r="V90" s="185" t="e">
        <f t="shared" ca="1" si="25"/>
        <v>#VALUE!</v>
      </c>
      <c r="W90" s="185" t="e">
        <f t="shared" ca="1" si="25"/>
        <v>#VALUE!</v>
      </c>
      <c r="X90" s="185" t="e">
        <f t="shared" ca="1" si="25"/>
        <v>#VALUE!</v>
      </c>
      <c r="Y90" s="185" t="e">
        <f t="shared" ca="1" si="25"/>
        <v>#VALUE!</v>
      </c>
      <c r="Z90" s="185" t="e">
        <f t="shared" ca="1" si="25"/>
        <v>#VALUE!</v>
      </c>
      <c r="AA90" s="185" t="e">
        <f t="shared" ca="1" si="26"/>
        <v>#VALUE!</v>
      </c>
      <c r="AB90" s="185" t="e">
        <f t="shared" ca="1" si="26"/>
        <v>#VALUE!</v>
      </c>
      <c r="AC90" s="185" t="e">
        <f t="shared" ca="1" si="26"/>
        <v>#VALUE!</v>
      </c>
      <c r="AD90" s="185" t="e">
        <f t="shared" ca="1" si="26"/>
        <v>#VALUE!</v>
      </c>
      <c r="AE90" s="185" t="e">
        <f t="shared" ca="1" si="26"/>
        <v>#VALUE!</v>
      </c>
      <c r="AF90" s="185" t="e">
        <f t="shared" ca="1" si="26"/>
        <v>#VALUE!</v>
      </c>
      <c r="AG90" s="185" t="e">
        <f t="shared" ca="1" si="26"/>
        <v>#VALUE!</v>
      </c>
      <c r="AH90" s="185" t="e">
        <f t="shared" ca="1" si="26"/>
        <v>#VALUE!</v>
      </c>
      <c r="AI90" s="185" t="e">
        <f t="shared" ca="1" si="26"/>
        <v>#VALUE!</v>
      </c>
      <c r="AJ90" s="185" t="e">
        <f t="shared" ca="1" si="26"/>
        <v>#VALUE!</v>
      </c>
      <c r="AK90" s="185" t="e">
        <f t="shared" ca="1" si="26"/>
        <v>#VALUE!</v>
      </c>
      <c r="AL90" s="185" t="e">
        <f t="shared" ca="1" si="26"/>
        <v>#VALUE!</v>
      </c>
      <c r="AM90" s="185" t="e">
        <f t="shared" ca="1" si="26"/>
        <v>#VALUE!</v>
      </c>
      <c r="AN90" s="185" t="e">
        <f t="shared" ca="1" si="26"/>
        <v>#VALUE!</v>
      </c>
      <c r="AO90" s="185" t="e">
        <f t="shared" ca="1" si="26"/>
        <v>#VALUE!</v>
      </c>
      <c r="AP90" s="185" t="e">
        <f t="shared" ca="1" si="24"/>
        <v>#VALUE!</v>
      </c>
    </row>
    <row r="91" spans="1:42" s="5" customFormat="1">
      <c r="A91" s="57" t="str">
        <f>'[4]TS BYDem'!A30</f>
        <v>*</v>
      </c>
      <c r="B91" s="5">
        <f>B70+1</f>
        <v>2</v>
      </c>
      <c r="C91" s="3" t="str">
        <f ca="1">OFFSET($C$9,$B91,0)</f>
        <v>Ferro Alloys</v>
      </c>
      <c r="D91" s="3" t="str">
        <f ca="1">OFFSET($B$9,$B91,0)</f>
        <v>FA</v>
      </c>
      <c r="J91" s="5">
        <f ca="1">SUMIF($B$10:$B$22,$D91,J$10:J$22)*SUMIF($B$10:$B$22,$D91,J$41:J$53)</f>
        <v>205.45</v>
      </c>
      <c r="K91" s="5">
        <f t="shared" ref="K91:AP91" ca="1" si="29">SUMIF($B$10:$B$22,$D91,K$10:K$22)*SUMIF($B$10:$B$22,$D91,K$41:K$53)</f>
        <v>210.29</v>
      </c>
      <c r="L91" s="5">
        <f t="shared" ca="1" si="29"/>
        <v>210.09</v>
      </c>
      <c r="M91" s="5">
        <f t="shared" ca="1" si="29"/>
        <v>214.84</v>
      </c>
      <c r="N91" s="5">
        <f t="shared" ca="1" si="29"/>
        <v>210.99</v>
      </c>
      <c r="O91" s="5">
        <f t="shared" ca="1" si="29"/>
        <v>215.85</v>
      </c>
      <c r="P91" s="5">
        <f t="shared" ca="1" si="29"/>
        <v>213.65</v>
      </c>
      <c r="Q91" s="5">
        <f t="shared" ca="1" si="29"/>
        <v>210.07</v>
      </c>
      <c r="R91" s="5">
        <f t="shared" ca="1" si="29"/>
        <v>193.07</v>
      </c>
      <c r="S91" s="5">
        <f t="shared" ca="1" si="29"/>
        <v>196.38</v>
      </c>
      <c r="T91" s="5">
        <f t="shared" ca="1" si="29"/>
        <v>199.05</v>
      </c>
      <c r="U91" s="5">
        <f t="shared" ca="1" si="29"/>
        <v>201.54</v>
      </c>
      <c r="V91" s="5">
        <f t="shared" ca="1" si="29"/>
        <v>203.91</v>
      </c>
      <c r="W91" s="5">
        <f t="shared" ca="1" si="29"/>
        <v>207.14</v>
      </c>
      <c r="X91" s="5">
        <f t="shared" ca="1" si="29"/>
        <v>212.19</v>
      </c>
      <c r="Y91" s="5">
        <f t="shared" ca="1" si="29"/>
        <v>217.65</v>
      </c>
      <c r="Z91" s="5">
        <f t="shared" ca="1" si="29"/>
        <v>223.52</v>
      </c>
      <c r="AA91" s="5">
        <f t="shared" ca="1" si="29"/>
        <v>228.69</v>
      </c>
      <c r="AB91" s="5">
        <f t="shared" ca="1" si="29"/>
        <v>234.66</v>
      </c>
      <c r="AC91" s="5">
        <f t="shared" ca="1" si="29"/>
        <v>240.3</v>
      </c>
      <c r="AD91" s="5">
        <f t="shared" ca="1" si="29"/>
        <v>245.53</v>
      </c>
      <c r="AE91" s="5">
        <f t="shared" ca="1" si="29"/>
        <v>251.1</v>
      </c>
      <c r="AF91" s="5">
        <f t="shared" ca="1" si="29"/>
        <v>256.91000000000003</v>
      </c>
      <c r="AG91" s="5">
        <f t="shared" ca="1" si="29"/>
        <v>262.83</v>
      </c>
      <c r="AH91" s="5">
        <f t="shared" ca="1" si="29"/>
        <v>269.37</v>
      </c>
      <c r="AI91" s="5">
        <f t="shared" ca="1" si="29"/>
        <v>276.17</v>
      </c>
      <c r="AJ91" s="5">
        <f t="shared" ca="1" si="29"/>
        <v>282.98</v>
      </c>
      <c r="AK91" s="5">
        <f t="shared" ca="1" si="29"/>
        <v>290.05</v>
      </c>
      <c r="AL91" s="5">
        <f t="shared" ca="1" si="29"/>
        <v>297.62</v>
      </c>
      <c r="AM91" s="5">
        <f t="shared" ca="1" si="29"/>
        <v>334.31</v>
      </c>
      <c r="AN91" s="5">
        <f t="shared" ca="1" si="29"/>
        <v>380</v>
      </c>
      <c r="AO91" s="5">
        <f t="shared" ca="1" si="29"/>
        <v>460.88000000000102</v>
      </c>
      <c r="AP91" s="5">
        <f t="shared" ca="1" si="29"/>
        <v>543.26000000000204</v>
      </c>
    </row>
    <row r="92" spans="1:42">
      <c r="A92" s="57" t="str">
        <f>'[4]TS BYDem'!A31</f>
        <v>*</v>
      </c>
      <c r="B92" s="185" t="s">
        <v>288</v>
      </c>
      <c r="C92" s="185" t="s">
        <v>137</v>
      </c>
      <c r="D92" s="185" t="str">
        <f>'[4]TS BYDem'!D31</f>
        <v>IFAK</v>
      </c>
      <c r="E92" s="185" t="s">
        <v>137</v>
      </c>
      <c r="F92" s="185" t="s">
        <v>137</v>
      </c>
      <c r="G92" s="185" t="s">
        <v>137</v>
      </c>
      <c r="H92" s="185" t="s">
        <v>137</v>
      </c>
      <c r="I92" s="185">
        <v>0</v>
      </c>
      <c r="J92" s="185" t="str">
        <f>INDEX('[4]TS BYDem'!$J$10:$J$203,MATCH(D92,'[4]TS BYDem'!$D$10:$D$203,0))</f>
        <v/>
      </c>
      <c r="K92" s="185" t="e">
        <f ca="1">K$91/J$91*J92</f>
        <v>#VALUE!</v>
      </c>
      <c r="L92" s="185" t="e">
        <f t="shared" ref="L92:AP107" ca="1" si="30">L$91/K$91*K92</f>
        <v>#VALUE!</v>
      </c>
      <c r="M92" s="185" t="e">
        <f t="shared" ca="1" si="30"/>
        <v>#VALUE!</v>
      </c>
      <c r="N92" s="185" t="e">
        <f t="shared" ca="1" si="30"/>
        <v>#VALUE!</v>
      </c>
      <c r="O92" s="185" t="e">
        <f t="shared" ca="1" si="30"/>
        <v>#VALUE!</v>
      </c>
      <c r="P92" s="185" t="e">
        <f t="shared" ca="1" si="30"/>
        <v>#VALUE!</v>
      </c>
      <c r="Q92" s="185" t="e">
        <f t="shared" ca="1" si="30"/>
        <v>#VALUE!</v>
      </c>
      <c r="R92" s="185" t="e">
        <f t="shared" ca="1" si="30"/>
        <v>#VALUE!</v>
      </c>
      <c r="S92" s="185" t="e">
        <f t="shared" ca="1" si="30"/>
        <v>#VALUE!</v>
      </c>
      <c r="T92" s="185" t="e">
        <f t="shared" ca="1" si="30"/>
        <v>#VALUE!</v>
      </c>
      <c r="U92" s="185" t="e">
        <f t="shared" ca="1" si="30"/>
        <v>#VALUE!</v>
      </c>
      <c r="V92" s="185" t="e">
        <f t="shared" ca="1" si="30"/>
        <v>#VALUE!</v>
      </c>
      <c r="W92" s="185" t="e">
        <f t="shared" ca="1" si="30"/>
        <v>#VALUE!</v>
      </c>
      <c r="X92" s="185" t="e">
        <f t="shared" ca="1" si="30"/>
        <v>#VALUE!</v>
      </c>
      <c r="Y92" s="185" t="e">
        <f t="shared" ca="1" si="30"/>
        <v>#VALUE!</v>
      </c>
      <c r="Z92" s="185" t="e">
        <f t="shared" ca="1" si="30"/>
        <v>#VALUE!</v>
      </c>
      <c r="AA92" s="185" t="e">
        <f t="shared" ca="1" si="30"/>
        <v>#VALUE!</v>
      </c>
      <c r="AB92" s="185" t="e">
        <f t="shared" ca="1" si="30"/>
        <v>#VALUE!</v>
      </c>
      <c r="AC92" s="185" t="e">
        <f t="shared" ca="1" si="30"/>
        <v>#VALUE!</v>
      </c>
      <c r="AD92" s="185" t="e">
        <f t="shared" ca="1" si="30"/>
        <v>#VALUE!</v>
      </c>
      <c r="AE92" s="185" t="e">
        <f t="shared" ca="1" si="30"/>
        <v>#VALUE!</v>
      </c>
      <c r="AF92" s="185" t="e">
        <f t="shared" ca="1" si="30"/>
        <v>#VALUE!</v>
      </c>
      <c r="AG92" s="185" t="e">
        <f t="shared" ca="1" si="30"/>
        <v>#VALUE!</v>
      </c>
      <c r="AH92" s="185" t="e">
        <f t="shared" ca="1" si="30"/>
        <v>#VALUE!</v>
      </c>
      <c r="AI92" s="185" t="e">
        <f t="shared" ca="1" si="30"/>
        <v>#VALUE!</v>
      </c>
      <c r="AJ92" s="185" t="e">
        <f t="shared" ca="1" si="30"/>
        <v>#VALUE!</v>
      </c>
      <c r="AK92" s="185" t="e">
        <f t="shared" ca="1" si="30"/>
        <v>#VALUE!</v>
      </c>
      <c r="AL92" s="185" t="e">
        <f t="shared" ca="1" si="30"/>
        <v>#VALUE!</v>
      </c>
      <c r="AM92" s="185" t="e">
        <f t="shared" ca="1" si="30"/>
        <v>#VALUE!</v>
      </c>
      <c r="AN92" s="185" t="e">
        <f t="shared" ca="1" si="30"/>
        <v>#VALUE!</v>
      </c>
      <c r="AO92" s="185" t="e">
        <f t="shared" ca="1" si="30"/>
        <v>#VALUE!</v>
      </c>
      <c r="AP92" s="185" t="e">
        <f t="shared" ca="1" si="30"/>
        <v>#VALUE!</v>
      </c>
    </row>
    <row r="93" spans="1:42">
      <c r="A93" s="57" t="str">
        <f>'[4]TS BYDem'!A32</f>
        <v>*</v>
      </c>
      <c r="B93" s="185" t="s">
        <v>288</v>
      </c>
      <c r="C93" s="185" t="s">
        <v>137</v>
      </c>
      <c r="D93" s="185" t="str">
        <f>'[4]TS BYDem'!D32</f>
        <v>IFAA</v>
      </c>
      <c r="E93" s="185" t="s">
        <v>137</v>
      </c>
      <c r="F93" s="185" t="s">
        <v>137</v>
      </c>
      <c r="G93" s="185" t="s">
        <v>137</v>
      </c>
      <c r="H93" s="185" t="s">
        <v>137</v>
      </c>
      <c r="I93" s="185">
        <v>0</v>
      </c>
      <c r="J93" s="185" t="str">
        <f>INDEX('[4]TS BYDem'!$J$10:$J$203,MATCH(D93,'[4]TS BYDem'!$D$10:$D$203,0))</f>
        <v/>
      </c>
      <c r="K93" s="185" t="e">
        <f t="shared" ref="K93:AH103" ca="1" si="31">K$91/J$91*J93</f>
        <v>#VALUE!</v>
      </c>
      <c r="L93" s="185" t="e">
        <f t="shared" ca="1" si="31"/>
        <v>#VALUE!</v>
      </c>
      <c r="M93" s="185" t="e">
        <f t="shared" ca="1" si="31"/>
        <v>#VALUE!</v>
      </c>
      <c r="N93" s="185" t="e">
        <f t="shared" ca="1" si="31"/>
        <v>#VALUE!</v>
      </c>
      <c r="O93" s="185" t="e">
        <f t="shared" ca="1" si="31"/>
        <v>#VALUE!</v>
      </c>
      <c r="P93" s="185" t="e">
        <f t="shared" ca="1" si="31"/>
        <v>#VALUE!</v>
      </c>
      <c r="Q93" s="185" t="e">
        <f t="shared" ca="1" si="31"/>
        <v>#VALUE!</v>
      </c>
      <c r="R93" s="185" t="e">
        <f t="shared" ca="1" si="31"/>
        <v>#VALUE!</v>
      </c>
      <c r="S93" s="185" t="e">
        <f t="shared" ca="1" si="31"/>
        <v>#VALUE!</v>
      </c>
      <c r="T93" s="185" t="e">
        <f t="shared" ca="1" si="31"/>
        <v>#VALUE!</v>
      </c>
      <c r="U93" s="185" t="e">
        <f t="shared" ca="1" si="31"/>
        <v>#VALUE!</v>
      </c>
      <c r="V93" s="185" t="e">
        <f t="shared" ca="1" si="31"/>
        <v>#VALUE!</v>
      </c>
      <c r="W93" s="185" t="e">
        <f t="shared" ca="1" si="31"/>
        <v>#VALUE!</v>
      </c>
      <c r="X93" s="185" t="e">
        <f t="shared" ca="1" si="31"/>
        <v>#VALUE!</v>
      </c>
      <c r="Y93" s="185" t="e">
        <f t="shared" ca="1" si="31"/>
        <v>#VALUE!</v>
      </c>
      <c r="Z93" s="185" t="e">
        <f t="shared" ca="1" si="31"/>
        <v>#VALUE!</v>
      </c>
      <c r="AA93" s="185" t="e">
        <f t="shared" ca="1" si="31"/>
        <v>#VALUE!</v>
      </c>
      <c r="AB93" s="185" t="e">
        <f t="shared" ca="1" si="31"/>
        <v>#VALUE!</v>
      </c>
      <c r="AC93" s="185" t="e">
        <f t="shared" ca="1" si="31"/>
        <v>#VALUE!</v>
      </c>
      <c r="AD93" s="185" t="e">
        <f t="shared" ca="1" si="31"/>
        <v>#VALUE!</v>
      </c>
      <c r="AE93" s="185" t="e">
        <f t="shared" ca="1" si="31"/>
        <v>#VALUE!</v>
      </c>
      <c r="AF93" s="185" t="e">
        <f t="shared" ca="1" si="31"/>
        <v>#VALUE!</v>
      </c>
      <c r="AG93" s="185" t="e">
        <f t="shared" ca="1" si="31"/>
        <v>#VALUE!</v>
      </c>
      <c r="AH93" s="185" t="e">
        <f t="shared" ca="1" si="31"/>
        <v>#VALUE!</v>
      </c>
      <c r="AI93" s="185" t="e">
        <f t="shared" ca="1" si="30"/>
        <v>#VALUE!</v>
      </c>
      <c r="AJ93" s="185" t="e">
        <f t="shared" ca="1" si="30"/>
        <v>#VALUE!</v>
      </c>
      <c r="AK93" s="185" t="e">
        <f t="shared" ca="1" si="30"/>
        <v>#VALUE!</v>
      </c>
      <c r="AL93" s="185" t="e">
        <f t="shared" ca="1" si="30"/>
        <v>#VALUE!</v>
      </c>
      <c r="AM93" s="185" t="e">
        <f t="shared" ca="1" si="30"/>
        <v>#VALUE!</v>
      </c>
      <c r="AN93" s="185" t="e">
        <f t="shared" ca="1" si="30"/>
        <v>#VALUE!</v>
      </c>
      <c r="AO93" s="185" t="e">
        <f t="shared" ca="1" si="30"/>
        <v>#VALUE!</v>
      </c>
      <c r="AP93" s="185" t="e">
        <f t="shared" ca="1" si="30"/>
        <v>#VALUE!</v>
      </c>
    </row>
    <row r="94" spans="1:42">
      <c r="A94" s="57" t="str">
        <f>'[4]TS BYDem'!A33</f>
        <v>*</v>
      </c>
      <c r="B94" s="185" t="s">
        <v>288</v>
      </c>
      <c r="C94" s="185" t="s">
        <v>137</v>
      </c>
      <c r="D94" s="185" t="str">
        <f>'[4]TS BYDem'!D33</f>
        <v>IFAL</v>
      </c>
      <c r="E94" s="185" t="s">
        <v>137</v>
      </c>
      <c r="F94" s="185" t="s">
        <v>137</v>
      </c>
      <c r="G94" s="185" t="s">
        <v>137</v>
      </c>
      <c r="H94" s="185" t="s">
        <v>137</v>
      </c>
      <c r="I94" s="185">
        <v>0</v>
      </c>
      <c r="J94" s="185" t="str">
        <f>INDEX('[4]TS BYDem'!$J$10:$J$203,MATCH(D94,'[4]TS BYDem'!$D$10:$D$203,0))</f>
        <v/>
      </c>
      <c r="K94" s="185" t="e">
        <f t="shared" ca="1" si="31"/>
        <v>#VALUE!</v>
      </c>
      <c r="L94" s="185" t="e">
        <f t="shared" ca="1" si="31"/>
        <v>#VALUE!</v>
      </c>
      <c r="M94" s="185" t="e">
        <f t="shared" ca="1" si="31"/>
        <v>#VALUE!</v>
      </c>
      <c r="N94" s="185" t="e">
        <f t="shared" ca="1" si="31"/>
        <v>#VALUE!</v>
      </c>
      <c r="O94" s="185" t="e">
        <f t="shared" ca="1" si="31"/>
        <v>#VALUE!</v>
      </c>
      <c r="P94" s="185" t="e">
        <f t="shared" ca="1" si="31"/>
        <v>#VALUE!</v>
      </c>
      <c r="Q94" s="185" t="e">
        <f t="shared" ca="1" si="31"/>
        <v>#VALUE!</v>
      </c>
      <c r="R94" s="185" t="e">
        <f t="shared" ca="1" si="31"/>
        <v>#VALUE!</v>
      </c>
      <c r="S94" s="185" t="e">
        <f t="shared" ca="1" si="31"/>
        <v>#VALUE!</v>
      </c>
      <c r="T94" s="185" t="e">
        <f t="shared" ca="1" si="31"/>
        <v>#VALUE!</v>
      </c>
      <c r="U94" s="185" t="e">
        <f t="shared" ca="1" si="31"/>
        <v>#VALUE!</v>
      </c>
      <c r="V94" s="185" t="e">
        <f t="shared" ca="1" si="31"/>
        <v>#VALUE!</v>
      </c>
      <c r="W94" s="185" t="e">
        <f t="shared" ca="1" si="31"/>
        <v>#VALUE!</v>
      </c>
      <c r="X94" s="185" t="e">
        <f t="shared" ca="1" si="31"/>
        <v>#VALUE!</v>
      </c>
      <c r="Y94" s="185" t="e">
        <f t="shared" ca="1" si="31"/>
        <v>#VALUE!</v>
      </c>
      <c r="Z94" s="185" t="e">
        <f t="shared" ca="1" si="31"/>
        <v>#VALUE!</v>
      </c>
      <c r="AA94" s="185" t="e">
        <f t="shared" ca="1" si="31"/>
        <v>#VALUE!</v>
      </c>
      <c r="AB94" s="185" t="e">
        <f t="shared" ca="1" si="31"/>
        <v>#VALUE!</v>
      </c>
      <c r="AC94" s="185" t="e">
        <f t="shared" ca="1" si="31"/>
        <v>#VALUE!</v>
      </c>
      <c r="AD94" s="185" t="e">
        <f t="shared" ca="1" si="31"/>
        <v>#VALUE!</v>
      </c>
      <c r="AE94" s="185" t="e">
        <f t="shared" ca="1" si="31"/>
        <v>#VALUE!</v>
      </c>
      <c r="AF94" s="185" t="e">
        <f t="shared" ca="1" si="31"/>
        <v>#VALUE!</v>
      </c>
      <c r="AG94" s="185" t="e">
        <f t="shared" ca="1" si="31"/>
        <v>#VALUE!</v>
      </c>
      <c r="AH94" s="185" t="e">
        <f t="shared" ca="1" si="31"/>
        <v>#VALUE!</v>
      </c>
      <c r="AI94" s="185" t="e">
        <f t="shared" ca="1" si="30"/>
        <v>#VALUE!</v>
      </c>
      <c r="AJ94" s="185" t="e">
        <f t="shared" ca="1" si="30"/>
        <v>#VALUE!</v>
      </c>
      <c r="AK94" s="185" t="e">
        <f t="shared" ca="1" si="30"/>
        <v>#VALUE!</v>
      </c>
      <c r="AL94" s="185" t="e">
        <f t="shared" ca="1" si="30"/>
        <v>#VALUE!</v>
      </c>
      <c r="AM94" s="185" t="e">
        <f t="shared" ca="1" si="30"/>
        <v>#VALUE!</v>
      </c>
      <c r="AN94" s="185" t="e">
        <f t="shared" ca="1" si="30"/>
        <v>#VALUE!</v>
      </c>
      <c r="AO94" s="185" t="e">
        <f t="shared" ca="1" si="30"/>
        <v>#VALUE!</v>
      </c>
      <c r="AP94" s="185" t="e">
        <f t="shared" ca="1" si="30"/>
        <v>#VALUE!</v>
      </c>
    </row>
    <row r="95" spans="1:42">
      <c r="A95" s="57" t="str">
        <f>'[4]TS BYDem'!A34</f>
        <v>*</v>
      </c>
      <c r="B95" s="185" t="s">
        <v>288</v>
      </c>
      <c r="C95" s="185" t="s">
        <v>137</v>
      </c>
      <c r="D95" s="185" t="str">
        <f>'[4]TS BYDem'!D34</f>
        <v>IFAC</v>
      </c>
      <c r="E95" s="185" t="s">
        <v>137</v>
      </c>
      <c r="F95" s="185" t="s">
        <v>137</v>
      </c>
      <c r="G95" s="185" t="s">
        <v>137</v>
      </c>
      <c r="H95" s="185" t="s">
        <v>137</v>
      </c>
      <c r="I95" s="185">
        <v>0</v>
      </c>
      <c r="J95" s="185" t="str">
        <f>INDEX('[4]TS BYDem'!$J$10:$J$203,MATCH(D95,'[4]TS BYDem'!$D$10:$D$203,0))</f>
        <v/>
      </c>
      <c r="K95" s="185" t="e">
        <f t="shared" ca="1" si="31"/>
        <v>#VALUE!</v>
      </c>
      <c r="L95" s="185" t="e">
        <f t="shared" ca="1" si="31"/>
        <v>#VALUE!</v>
      </c>
      <c r="M95" s="185" t="e">
        <f t="shared" ca="1" si="31"/>
        <v>#VALUE!</v>
      </c>
      <c r="N95" s="185" t="e">
        <f t="shared" ca="1" si="31"/>
        <v>#VALUE!</v>
      </c>
      <c r="O95" s="185" t="e">
        <f t="shared" ca="1" si="31"/>
        <v>#VALUE!</v>
      </c>
      <c r="P95" s="185" t="e">
        <f t="shared" ca="1" si="31"/>
        <v>#VALUE!</v>
      </c>
      <c r="Q95" s="185" t="e">
        <f t="shared" ca="1" si="31"/>
        <v>#VALUE!</v>
      </c>
      <c r="R95" s="185" t="e">
        <f t="shared" ca="1" si="31"/>
        <v>#VALUE!</v>
      </c>
      <c r="S95" s="185" t="e">
        <f t="shared" ca="1" si="31"/>
        <v>#VALUE!</v>
      </c>
      <c r="T95" s="185" t="e">
        <f t="shared" ca="1" si="31"/>
        <v>#VALUE!</v>
      </c>
      <c r="U95" s="185" t="e">
        <f t="shared" ca="1" si="31"/>
        <v>#VALUE!</v>
      </c>
      <c r="V95" s="185" t="e">
        <f t="shared" ca="1" si="31"/>
        <v>#VALUE!</v>
      </c>
      <c r="W95" s="185" t="e">
        <f t="shared" ca="1" si="31"/>
        <v>#VALUE!</v>
      </c>
      <c r="X95" s="185" t="e">
        <f t="shared" ca="1" si="31"/>
        <v>#VALUE!</v>
      </c>
      <c r="Y95" s="185" t="e">
        <f t="shared" ca="1" si="31"/>
        <v>#VALUE!</v>
      </c>
      <c r="Z95" s="185" t="e">
        <f t="shared" ca="1" si="31"/>
        <v>#VALUE!</v>
      </c>
      <c r="AA95" s="185" t="e">
        <f t="shared" ca="1" si="31"/>
        <v>#VALUE!</v>
      </c>
      <c r="AB95" s="185" t="e">
        <f t="shared" ca="1" si="31"/>
        <v>#VALUE!</v>
      </c>
      <c r="AC95" s="185" t="e">
        <f t="shared" ca="1" si="31"/>
        <v>#VALUE!</v>
      </c>
      <c r="AD95" s="185" t="e">
        <f t="shared" ca="1" si="31"/>
        <v>#VALUE!</v>
      </c>
      <c r="AE95" s="185" t="e">
        <f t="shared" ca="1" si="31"/>
        <v>#VALUE!</v>
      </c>
      <c r="AF95" s="185" t="e">
        <f t="shared" ca="1" si="31"/>
        <v>#VALUE!</v>
      </c>
      <c r="AG95" s="185" t="e">
        <f t="shared" ca="1" si="31"/>
        <v>#VALUE!</v>
      </c>
      <c r="AH95" s="185" t="e">
        <f t="shared" ca="1" si="31"/>
        <v>#VALUE!</v>
      </c>
      <c r="AI95" s="185" t="e">
        <f t="shared" ca="1" si="30"/>
        <v>#VALUE!</v>
      </c>
      <c r="AJ95" s="185" t="e">
        <f t="shared" ca="1" si="30"/>
        <v>#VALUE!</v>
      </c>
      <c r="AK95" s="185" t="e">
        <f t="shared" ca="1" si="30"/>
        <v>#VALUE!</v>
      </c>
      <c r="AL95" s="185" t="e">
        <f t="shared" ca="1" si="30"/>
        <v>#VALUE!</v>
      </c>
      <c r="AM95" s="185" t="e">
        <f t="shared" ca="1" si="30"/>
        <v>#VALUE!</v>
      </c>
      <c r="AN95" s="185" t="e">
        <f t="shared" ca="1" si="30"/>
        <v>#VALUE!</v>
      </c>
      <c r="AO95" s="185" t="e">
        <f t="shared" ca="1" si="30"/>
        <v>#VALUE!</v>
      </c>
      <c r="AP95" s="185" t="e">
        <f t="shared" ca="1" si="30"/>
        <v>#VALUE!</v>
      </c>
    </row>
    <row r="96" spans="1:42">
      <c r="A96" s="57" t="str">
        <f>'[4]TS BYDem'!A35</f>
        <v>*</v>
      </c>
      <c r="B96" s="185" t="s">
        <v>288</v>
      </c>
      <c r="C96" s="185" t="s">
        <v>137</v>
      </c>
      <c r="D96" s="185" t="str">
        <f>'[4]TS BYDem'!D35</f>
        <v>IFAH</v>
      </c>
      <c r="E96" s="185" t="s">
        <v>137</v>
      </c>
      <c r="F96" s="185" t="s">
        <v>137</v>
      </c>
      <c r="G96" s="185" t="s">
        <v>137</v>
      </c>
      <c r="H96" s="185" t="s">
        <v>137</v>
      </c>
      <c r="I96" s="185">
        <v>0</v>
      </c>
      <c r="J96" s="185" t="str">
        <f>INDEX('[4]TS BYDem'!$J$10:$J$203,MATCH(D96,'[4]TS BYDem'!$D$10:$D$203,0))</f>
        <v/>
      </c>
      <c r="K96" s="185" t="e">
        <f t="shared" ca="1" si="31"/>
        <v>#VALUE!</v>
      </c>
      <c r="L96" s="185" t="e">
        <f t="shared" ca="1" si="31"/>
        <v>#VALUE!</v>
      </c>
      <c r="M96" s="185" t="e">
        <f t="shared" ca="1" si="31"/>
        <v>#VALUE!</v>
      </c>
      <c r="N96" s="185" t="e">
        <f t="shared" ca="1" si="31"/>
        <v>#VALUE!</v>
      </c>
      <c r="O96" s="185" t="e">
        <f t="shared" ca="1" si="31"/>
        <v>#VALUE!</v>
      </c>
      <c r="P96" s="185" t="e">
        <f t="shared" ca="1" si="31"/>
        <v>#VALUE!</v>
      </c>
      <c r="Q96" s="185" t="e">
        <f t="shared" ca="1" si="31"/>
        <v>#VALUE!</v>
      </c>
      <c r="R96" s="185" t="e">
        <f t="shared" ca="1" si="31"/>
        <v>#VALUE!</v>
      </c>
      <c r="S96" s="185" t="e">
        <f t="shared" ca="1" si="31"/>
        <v>#VALUE!</v>
      </c>
      <c r="T96" s="185" t="e">
        <f t="shared" ca="1" si="31"/>
        <v>#VALUE!</v>
      </c>
      <c r="U96" s="185" t="e">
        <f t="shared" ca="1" si="31"/>
        <v>#VALUE!</v>
      </c>
      <c r="V96" s="185" t="e">
        <f t="shared" ca="1" si="31"/>
        <v>#VALUE!</v>
      </c>
      <c r="W96" s="185" t="e">
        <f t="shared" ca="1" si="31"/>
        <v>#VALUE!</v>
      </c>
      <c r="X96" s="185" t="e">
        <f t="shared" ca="1" si="31"/>
        <v>#VALUE!</v>
      </c>
      <c r="Y96" s="185" t="e">
        <f t="shared" ca="1" si="31"/>
        <v>#VALUE!</v>
      </c>
      <c r="Z96" s="185" t="e">
        <f t="shared" ca="1" si="31"/>
        <v>#VALUE!</v>
      </c>
      <c r="AA96" s="185" t="e">
        <f t="shared" ca="1" si="31"/>
        <v>#VALUE!</v>
      </c>
      <c r="AB96" s="185" t="e">
        <f t="shared" ca="1" si="31"/>
        <v>#VALUE!</v>
      </c>
      <c r="AC96" s="185" t="e">
        <f t="shared" ca="1" si="31"/>
        <v>#VALUE!</v>
      </c>
      <c r="AD96" s="185" t="e">
        <f t="shared" ca="1" si="31"/>
        <v>#VALUE!</v>
      </c>
      <c r="AE96" s="185" t="e">
        <f t="shared" ca="1" si="31"/>
        <v>#VALUE!</v>
      </c>
      <c r="AF96" s="185" t="e">
        <f t="shared" ca="1" si="31"/>
        <v>#VALUE!</v>
      </c>
      <c r="AG96" s="185" t="e">
        <f t="shared" ca="1" si="31"/>
        <v>#VALUE!</v>
      </c>
      <c r="AH96" s="185" t="e">
        <f t="shared" ca="1" si="31"/>
        <v>#VALUE!</v>
      </c>
      <c r="AI96" s="185" t="e">
        <f t="shared" ca="1" si="30"/>
        <v>#VALUE!</v>
      </c>
      <c r="AJ96" s="185" t="e">
        <f t="shared" ca="1" si="30"/>
        <v>#VALUE!</v>
      </c>
      <c r="AK96" s="185" t="e">
        <f t="shared" ca="1" si="30"/>
        <v>#VALUE!</v>
      </c>
      <c r="AL96" s="185" t="e">
        <f t="shared" ca="1" si="30"/>
        <v>#VALUE!</v>
      </c>
      <c r="AM96" s="185" t="e">
        <f t="shared" ca="1" si="30"/>
        <v>#VALUE!</v>
      </c>
      <c r="AN96" s="185" t="e">
        <f t="shared" ca="1" si="30"/>
        <v>#VALUE!</v>
      </c>
      <c r="AO96" s="185" t="e">
        <f t="shared" ca="1" si="30"/>
        <v>#VALUE!</v>
      </c>
      <c r="AP96" s="185" t="e">
        <f t="shared" ca="1" si="30"/>
        <v>#VALUE!</v>
      </c>
    </row>
    <row r="97" spans="1:42">
      <c r="A97" s="57" t="str">
        <f>'[4]TS BYDem'!A36</f>
        <v>*</v>
      </c>
      <c r="B97" s="185" t="s">
        <v>288</v>
      </c>
      <c r="C97" s="185" t="s">
        <v>137</v>
      </c>
      <c r="D97" s="185" t="str">
        <f>'[4]TS BYDem'!D36</f>
        <v>IFAP</v>
      </c>
      <c r="E97" s="185" t="s">
        <v>137</v>
      </c>
      <c r="F97" s="185" t="s">
        <v>137</v>
      </c>
      <c r="G97" s="185" t="s">
        <v>137</v>
      </c>
      <c r="H97" s="185" t="s">
        <v>137</v>
      </c>
      <c r="I97" s="185">
        <v>0</v>
      </c>
      <c r="J97" s="185" t="str">
        <f>INDEX('[4]TS BYDem'!$J$10:$J$203,MATCH(D97,'[4]TS BYDem'!$D$10:$D$203,0))</f>
        <v/>
      </c>
      <c r="K97" s="185" t="e">
        <f t="shared" ca="1" si="31"/>
        <v>#VALUE!</v>
      </c>
      <c r="L97" s="185" t="e">
        <f t="shared" ca="1" si="31"/>
        <v>#VALUE!</v>
      </c>
      <c r="M97" s="185" t="e">
        <f t="shared" ca="1" si="31"/>
        <v>#VALUE!</v>
      </c>
      <c r="N97" s="185" t="e">
        <f t="shared" ca="1" si="31"/>
        <v>#VALUE!</v>
      </c>
      <c r="O97" s="185" t="e">
        <f t="shared" ca="1" si="31"/>
        <v>#VALUE!</v>
      </c>
      <c r="P97" s="185" t="e">
        <f t="shared" ca="1" si="31"/>
        <v>#VALUE!</v>
      </c>
      <c r="Q97" s="185" t="e">
        <f t="shared" ca="1" si="31"/>
        <v>#VALUE!</v>
      </c>
      <c r="R97" s="185" t="e">
        <f t="shared" ca="1" si="31"/>
        <v>#VALUE!</v>
      </c>
      <c r="S97" s="185" t="e">
        <f t="shared" ca="1" si="31"/>
        <v>#VALUE!</v>
      </c>
      <c r="T97" s="185" t="e">
        <f t="shared" ca="1" si="31"/>
        <v>#VALUE!</v>
      </c>
      <c r="U97" s="185" t="e">
        <f t="shared" ca="1" si="31"/>
        <v>#VALUE!</v>
      </c>
      <c r="V97" s="185" t="e">
        <f t="shared" ca="1" si="31"/>
        <v>#VALUE!</v>
      </c>
      <c r="W97" s="185" t="e">
        <f t="shared" ca="1" si="31"/>
        <v>#VALUE!</v>
      </c>
      <c r="X97" s="185" t="e">
        <f t="shared" ca="1" si="31"/>
        <v>#VALUE!</v>
      </c>
      <c r="Y97" s="185" t="e">
        <f t="shared" ca="1" si="31"/>
        <v>#VALUE!</v>
      </c>
      <c r="Z97" s="185" t="e">
        <f t="shared" ca="1" si="31"/>
        <v>#VALUE!</v>
      </c>
      <c r="AA97" s="185" t="e">
        <f t="shared" ca="1" si="31"/>
        <v>#VALUE!</v>
      </c>
      <c r="AB97" s="185" t="e">
        <f t="shared" ca="1" si="31"/>
        <v>#VALUE!</v>
      </c>
      <c r="AC97" s="185" t="e">
        <f t="shared" ca="1" si="31"/>
        <v>#VALUE!</v>
      </c>
      <c r="AD97" s="185" t="e">
        <f t="shared" ca="1" si="31"/>
        <v>#VALUE!</v>
      </c>
      <c r="AE97" s="185" t="e">
        <f t="shared" ca="1" si="31"/>
        <v>#VALUE!</v>
      </c>
      <c r="AF97" s="185" t="e">
        <f t="shared" ca="1" si="31"/>
        <v>#VALUE!</v>
      </c>
      <c r="AG97" s="185" t="e">
        <f t="shared" ca="1" si="31"/>
        <v>#VALUE!</v>
      </c>
      <c r="AH97" s="185" t="e">
        <f t="shared" ca="1" si="31"/>
        <v>#VALUE!</v>
      </c>
      <c r="AI97" s="185" t="e">
        <f t="shared" ca="1" si="30"/>
        <v>#VALUE!</v>
      </c>
      <c r="AJ97" s="185" t="e">
        <f t="shared" ca="1" si="30"/>
        <v>#VALUE!</v>
      </c>
      <c r="AK97" s="185" t="e">
        <f t="shared" ca="1" si="30"/>
        <v>#VALUE!</v>
      </c>
      <c r="AL97" s="185" t="e">
        <f t="shared" ca="1" si="30"/>
        <v>#VALUE!</v>
      </c>
      <c r="AM97" s="185" t="e">
        <f t="shared" ca="1" si="30"/>
        <v>#VALUE!</v>
      </c>
      <c r="AN97" s="185" t="e">
        <f t="shared" ca="1" si="30"/>
        <v>#VALUE!</v>
      </c>
      <c r="AO97" s="185" t="e">
        <f t="shared" ca="1" si="30"/>
        <v>#VALUE!</v>
      </c>
      <c r="AP97" s="185" t="e">
        <f t="shared" ca="1" si="30"/>
        <v>#VALUE!</v>
      </c>
    </row>
    <row r="98" spans="1:42">
      <c r="A98" s="57" t="str">
        <f>'[4]TS BYDem'!A37</f>
        <v>*</v>
      </c>
      <c r="B98" s="185" t="s">
        <v>288</v>
      </c>
      <c r="C98" s="185" t="s">
        <v>137</v>
      </c>
      <c r="D98" s="185" t="str">
        <f>'[4]TS BYDem'!D37</f>
        <v>IFAF</v>
      </c>
      <c r="E98" s="185" t="s">
        <v>137</v>
      </c>
      <c r="F98" s="185" t="s">
        <v>137</v>
      </c>
      <c r="G98" s="185" t="s">
        <v>137</v>
      </c>
      <c r="H98" s="185" t="s">
        <v>137</v>
      </c>
      <c r="I98" s="185">
        <v>0</v>
      </c>
      <c r="J98" s="185" t="str">
        <f>INDEX('[4]TS BYDem'!$J$10:$J$203,MATCH(D98,'[4]TS BYDem'!$D$10:$D$203,0))</f>
        <v/>
      </c>
      <c r="K98" s="185" t="e">
        <f t="shared" ca="1" si="31"/>
        <v>#VALUE!</v>
      </c>
      <c r="L98" s="185" t="e">
        <f t="shared" ca="1" si="31"/>
        <v>#VALUE!</v>
      </c>
      <c r="M98" s="185" t="e">
        <f t="shared" ca="1" si="31"/>
        <v>#VALUE!</v>
      </c>
      <c r="N98" s="185" t="e">
        <f t="shared" ca="1" si="31"/>
        <v>#VALUE!</v>
      </c>
      <c r="O98" s="185" t="e">
        <f t="shared" ca="1" si="31"/>
        <v>#VALUE!</v>
      </c>
      <c r="P98" s="185" t="e">
        <f t="shared" ca="1" si="31"/>
        <v>#VALUE!</v>
      </c>
      <c r="Q98" s="185" t="e">
        <f t="shared" ca="1" si="31"/>
        <v>#VALUE!</v>
      </c>
      <c r="R98" s="185" t="e">
        <f t="shared" ca="1" si="31"/>
        <v>#VALUE!</v>
      </c>
      <c r="S98" s="185" t="e">
        <f t="shared" ca="1" si="31"/>
        <v>#VALUE!</v>
      </c>
      <c r="T98" s="185" t="e">
        <f t="shared" ca="1" si="31"/>
        <v>#VALUE!</v>
      </c>
      <c r="U98" s="185" t="e">
        <f t="shared" ca="1" si="31"/>
        <v>#VALUE!</v>
      </c>
      <c r="V98" s="185" t="e">
        <f t="shared" ca="1" si="31"/>
        <v>#VALUE!</v>
      </c>
      <c r="W98" s="185" t="e">
        <f t="shared" ca="1" si="31"/>
        <v>#VALUE!</v>
      </c>
      <c r="X98" s="185" t="e">
        <f t="shared" ca="1" si="31"/>
        <v>#VALUE!</v>
      </c>
      <c r="Y98" s="185" t="e">
        <f t="shared" ca="1" si="31"/>
        <v>#VALUE!</v>
      </c>
      <c r="Z98" s="185" t="e">
        <f t="shared" ca="1" si="31"/>
        <v>#VALUE!</v>
      </c>
      <c r="AA98" s="185" t="e">
        <f t="shared" ca="1" si="31"/>
        <v>#VALUE!</v>
      </c>
      <c r="AB98" s="185" t="e">
        <f t="shared" ca="1" si="31"/>
        <v>#VALUE!</v>
      </c>
      <c r="AC98" s="185" t="e">
        <f t="shared" ca="1" si="31"/>
        <v>#VALUE!</v>
      </c>
      <c r="AD98" s="185" t="e">
        <f t="shared" ca="1" si="31"/>
        <v>#VALUE!</v>
      </c>
      <c r="AE98" s="185" t="e">
        <f t="shared" ca="1" si="31"/>
        <v>#VALUE!</v>
      </c>
      <c r="AF98" s="185" t="e">
        <f t="shared" ca="1" si="31"/>
        <v>#VALUE!</v>
      </c>
      <c r="AG98" s="185" t="e">
        <f t="shared" ca="1" si="31"/>
        <v>#VALUE!</v>
      </c>
      <c r="AH98" s="185" t="e">
        <f t="shared" ca="1" si="31"/>
        <v>#VALUE!</v>
      </c>
      <c r="AI98" s="185" t="e">
        <f t="shared" ca="1" si="30"/>
        <v>#VALUE!</v>
      </c>
      <c r="AJ98" s="185" t="e">
        <f t="shared" ca="1" si="30"/>
        <v>#VALUE!</v>
      </c>
      <c r="AK98" s="185" t="e">
        <f t="shared" ca="1" si="30"/>
        <v>#VALUE!</v>
      </c>
      <c r="AL98" s="185" t="e">
        <f t="shared" ca="1" si="30"/>
        <v>#VALUE!</v>
      </c>
      <c r="AM98" s="185" t="e">
        <f t="shared" ca="1" si="30"/>
        <v>#VALUE!</v>
      </c>
      <c r="AN98" s="185" t="e">
        <f t="shared" ca="1" si="30"/>
        <v>#VALUE!</v>
      </c>
      <c r="AO98" s="185" t="e">
        <f t="shared" ca="1" si="30"/>
        <v>#VALUE!</v>
      </c>
      <c r="AP98" s="185" t="e">
        <f t="shared" ca="1" si="30"/>
        <v>#VALUE!</v>
      </c>
    </row>
    <row r="99" spans="1:42">
      <c r="A99" s="57" t="str">
        <f>'[4]TS BYDem'!A38</f>
        <v>*</v>
      </c>
      <c r="B99" s="185" t="s">
        <v>288</v>
      </c>
      <c r="C99" s="185" t="s">
        <v>137</v>
      </c>
      <c r="D99" s="185" t="str">
        <f>'[4]TS BYDem'!D38</f>
        <v>IFAO</v>
      </c>
      <c r="E99" s="185" t="s">
        <v>137</v>
      </c>
      <c r="F99" s="185" t="s">
        <v>137</v>
      </c>
      <c r="G99" s="185" t="s">
        <v>137</v>
      </c>
      <c r="H99" s="185" t="s">
        <v>137</v>
      </c>
      <c r="I99" s="185">
        <v>0</v>
      </c>
      <c r="J99" s="185" t="str">
        <f>INDEX('[4]TS BYDem'!$J$10:$J$203,MATCH(D99,'[4]TS BYDem'!$D$10:$D$203,0))</f>
        <v/>
      </c>
      <c r="K99" s="185" t="e">
        <f t="shared" ca="1" si="31"/>
        <v>#VALUE!</v>
      </c>
      <c r="L99" s="185" t="e">
        <f t="shared" ca="1" si="31"/>
        <v>#VALUE!</v>
      </c>
      <c r="M99" s="185" t="e">
        <f t="shared" ca="1" si="31"/>
        <v>#VALUE!</v>
      </c>
      <c r="N99" s="185" t="e">
        <f t="shared" ca="1" si="31"/>
        <v>#VALUE!</v>
      </c>
      <c r="O99" s="185" t="e">
        <f t="shared" ca="1" si="31"/>
        <v>#VALUE!</v>
      </c>
      <c r="P99" s="185" t="e">
        <f t="shared" ca="1" si="31"/>
        <v>#VALUE!</v>
      </c>
      <c r="Q99" s="185" t="e">
        <f t="shared" ca="1" si="31"/>
        <v>#VALUE!</v>
      </c>
      <c r="R99" s="185" t="e">
        <f t="shared" ca="1" si="31"/>
        <v>#VALUE!</v>
      </c>
      <c r="S99" s="185" t="e">
        <f t="shared" ca="1" si="31"/>
        <v>#VALUE!</v>
      </c>
      <c r="T99" s="185" t="e">
        <f t="shared" ca="1" si="31"/>
        <v>#VALUE!</v>
      </c>
      <c r="U99" s="185" t="e">
        <f t="shared" ca="1" si="31"/>
        <v>#VALUE!</v>
      </c>
      <c r="V99" s="185" t="e">
        <f t="shared" ca="1" si="31"/>
        <v>#VALUE!</v>
      </c>
      <c r="W99" s="185" t="e">
        <f t="shared" ca="1" si="31"/>
        <v>#VALUE!</v>
      </c>
      <c r="X99" s="185" t="e">
        <f t="shared" ca="1" si="31"/>
        <v>#VALUE!</v>
      </c>
      <c r="Y99" s="185" t="e">
        <f t="shared" ca="1" si="31"/>
        <v>#VALUE!</v>
      </c>
      <c r="Z99" s="185" t="e">
        <f t="shared" ca="1" si="31"/>
        <v>#VALUE!</v>
      </c>
      <c r="AA99" s="185" t="e">
        <f t="shared" ca="1" si="31"/>
        <v>#VALUE!</v>
      </c>
      <c r="AB99" s="185" t="e">
        <f t="shared" ca="1" si="31"/>
        <v>#VALUE!</v>
      </c>
      <c r="AC99" s="185" t="e">
        <f t="shared" ca="1" si="31"/>
        <v>#VALUE!</v>
      </c>
      <c r="AD99" s="185" t="e">
        <f t="shared" ca="1" si="31"/>
        <v>#VALUE!</v>
      </c>
      <c r="AE99" s="185" t="e">
        <f t="shared" ca="1" si="31"/>
        <v>#VALUE!</v>
      </c>
      <c r="AF99" s="185" t="e">
        <f t="shared" ca="1" si="31"/>
        <v>#VALUE!</v>
      </c>
      <c r="AG99" s="185" t="e">
        <f t="shared" ca="1" si="31"/>
        <v>#VALUE!</v>
      </c>
      <c r="AH99" s="185" t="e">
        <f t="shared" ca="1" si="31"/>
        <v>#VALUE!</v>
      </c>
      <c r="AI99" s="185" t="e">
        <f t="shared" ca="1" si="30"/>
        <v>#VALUE!</v>
      </c>
      <c r="AJ99" s="185" t="e">
        <f t="shared" ca="1" si="30"/>
        <v>#VALUE!</v>
      </c>
      <c r="AK99" s="185" t="e">
        <f t="shared" ca="1" si="30"/>
        <v>#VALUE!</v>
      </c>
      <c r="AL99" s="185" t="e">
        <f t="shared" ca="1" si="30"/>
        <v>#VALUE!</v>
      </c>
      <c r="AM99" s="185" t="e">
        <f t="shared" ca="1" si="30"/>
        <v>#VALUE!</v>
      </c>
      <c r="AN99" s="185" t="e">
        <f t="shared" ca="1" si="30"/>
        <v>#VALUE!</v>
      </c>
      <c r="AO99" s="185" t="e">
        <f t="shared" ca="1" si="30"/>
        <v>#VALUE!</v>
      </c>
      <c r="AP99" s="185" t="e">
        <f t="shared" ca="1" si="30"/>
        <v>#VALUE!</v>
      </c>
    </row>
    <row r="100" spans="1:42">
      <c r="A100" s="57" t="str">
        <f>'[4]TS BYDem'!A39</f>
        <v>*</v>
      </c>
      <c r="B100" s="185" t="s">
        <v>288</v>
      </c>
      <c r="C100" s="185" t="s">
        <v>137</v>
      </c>
      <c r="D100" s="185" t="str">
        <f>'[4]TS BYDem'!D39</f>
        <v>IFAE</v>
      </c>
      <c r="E100" s="185" t="s">
        <v>137</v>
      </c>
      <c r="F100" s="185" t="s">
        <v>137</v>
      </c>
      <c r="G100" s="185" t="s">
        <v>137</v>
      </c>
      <c r="H100" s="185" t="s">
        <v>137</v>
      </c>
      <c r="I100" s="185">
        <v>0</v>
      </c>
      <c r="J100" s="185" t="str">
        <f>INDEX('[4]TS BYDem'!$J$10:$J$203,MATCH(D100,'[4]TS BYDem'!$D$10:$D$203,0))</f>
        <v/>
      </c>
      <c r="K100" s="185" t="e">
        <f t="shared" ca="1" si="31"/>
        <v>#VALUE!</v>
      </c>
      <c r="L100" s="185" t="e">
        <f t="shared" ca="1" si="31"/>
        <v>#VALUE!</v>
      </c>
      <c r="M100" s="185" t="e">
        <f t="shared" ca="1" si="31"/>
        <v>#VALUE!</v>
      </c>
      <c r="N100" s="185" t="e">
        <f t="shared" ca="1" si="31"/>
        <v>#VALUE!</v>
      </c>
      <c r="O100" s="185" t="e">
        <f t="shared" ca="1" si="31"/>
        <v>#VALUE!</v>
      </c>
      <c r="P100" s="185" t="e">
        <f t="shared" ca="1" si="31"/>
        <v>#VALUE!</v>
      </c>
      <c r="Q100" s="185" t="e">
        <f t="shared" ca="1" si="31"/>
        <v>#VALUE!</v>
      </c>
      <c r="R100" s="185" t="e">
        <f t="shared" ca="1" si="31"/>
        <v>#VALUE!</v>
      </c>
      <c r="S100" s="185" t="e">
        <f t="shared" ca="1" si="31"/>
        <v>#VALUE!</v>
      </c>
      <c r="T100" s="185" t="e">
        <f t="shared" ca="1" si="31"/>
        <v>#VALUE!</v>
      </c>
      <c r="U100" s="185" t="e">
        <f t="shared" ca="1" si="31"/>
        <v>#VALUE!</v>
      </c>
      <c r="V100" s="185" t="e">
        <f t="shared" ca="1" si="31"/>
        <v>#VALUE!</v>
      </c>
      <c r="W100" s="185" t="e">
        <f t="shared" ca="1" si="31"/>
        <v>#VALUE!</v>
      </c>
      <c r="X100" s="185" t="e">
        <f t="shared" ca="1" si="31"/>
        <v>#VALUE!</v>
      </c>
      <c r="Y100" s="185" t="e">
        <f t="shared" ca="1" si="31"/>
        <v>#VALUE!</v>
      </c>
      <c r="Z100" s="185" t="e">
        <f t="shared" ca="1" si="31"/>
        <v>#VALUE!</v>
      </c>
      <c r="AA100" s="185" t="e">
        <f t="shared" ca="1" si="31"/>
        <v>#VALUE!</v>
      </c>
      <c r="AB100" s="185" t="e">
        <f t="shared" ca="1" si="31"/>
        <v>#VALUE!</v>
      </c>
      <c r="AC100" s="185" t="e">
        <f t="shared" ca="1" si="31"/>
        <v>#VALUE!</v>
      </c>
      <c r="AD100" s="185" t="e">
        <f t="shared" ca="1" si="31"/>
        <v>#VALUE!</v>
      </c>
      <c r="AE100" s="185" t="e">
        <f t="shared" ca="1" si="31"/>
        <v>#VALUE!</v>
      </c>
      <c r="AF100" s="185" t="e">
        <f t="shared" ca="1" si="31"/>
        <v>#VALUE!</v>
      </c>
      <c r="AG100" s="185" t="e">
        <f t="shared" ca="1" si="31"/>
        <v>#VALUE!</v>
      </c>
      <c r="AH100" s="185" t="e">
        <f t="shared" ca="1" si="31"/>
        <v>#VALUE!</v>
      </c>
      <c r="AI100" s="185" t="e">
        <f t="shared" ca="1" si="30"/>
        <v>#VALUE!</v>
      </c>
      <c r="AJ100" s="185" t="e">
        <f t="shared" ca="1" si="30"/>
        <v>#VALUE!</v>
      </c>
      <c r="AK100" s="185" t="e">
        <f t="shared" ca="1" si="30"/>
        <v>#VALUE!</v>
      </c>
      <c r="AL100" s="185" t="e">
        <f t="shared" ca="1" si="30"/>
        <v>#VALUE!</v>
      </c>
      <c r="AM100" s="185" t="e">
        <f t="shared" ca="1" si="30"/>
        <v>#VALUE!</v>
      </c>
      <c r="AN100" s="185" t="e">
        <f t="shared" ca="1" si="30"/>
        <v>#VALUE!</v>
      </c>
      <c r="AO100" s="185" t="e">
        <f t="shared" ca="1" si="30"/>
        <v>#VALUE!</v>
      </c>
      <c r="AP100" s="185" t="e">
        <f t="shared" ca="1" si="30"/>
        <v>#VALUE!</v>
      </c>
    </row>
    <row r="101" spans="1:42">
      <c r="A101" s="57" t="str">
        <f>'[4]TS BYDem'!A40</f>
        <v>*</v>
      </c>
      <c r="B101" s="185" t="s">
        <v>288</v>
      </c>
      <c r="C101" s="185" t="s">
        <v>137</v>
      </c>
      <c r="D101" s="185">
        <f>'[4]TS BYDem'!D40</f>
        <v>0</v>
      </c>
      <c r="E101" s="185" t="s">
        <v>137</v>
      </c>
      <c r="F101" s="185" t="s">
        <v>137</v>
      </c>
      <c r="G101" s="185" t="s">
        <v>137</v>
      </c>
      <c r="H101" s="185" t="s">
        <v>137</v>
      </c>
      <c r="I101" s="185">
        <v>0</v>
      </c>
      <c r="J101" s="185" t="str">
        <f>INDEX('[4]TS BYDem'!$J$10:$J$203,MATCH(D101,'[4]TS BYDem'!$D$10:$D$203,0))</f>
        <v/>
      </c>
      <c r="K101" s="185" t="e">
        <f t="shared" ca="1" si="31"/>
        <v>#VALUE!</v>
      </c>
      <c r="L101" s="185" t="e">
        <f t="shared" ca="1" si="31"/>
        <v>#VALUE!</v>
      </c>
      <c r="M101" s="185" t="e">
        <f t="shared" ca="1" si="31"/>
        <v>#VALUE!</v>
      </c>
      <c r="N101" s="185" t="e">
        <f t="shared" ca="1" si="31"/>
        <v>#VALUE!</v>
      </c>
      <c r="O101" s="185" t="e">
        <f t="shared" ca="1" si="31"/>
        <v>#VALUE!</v>
      </c>
      <c r="P101" s="185" t="e">
        <f t="shared" ca="1" si="31"/>
        <v>#VALUE!</v>
      </c>
      <c r="Q101" s="185" t="e">
        <f t="shared" ca="1" si="31"/>
        <v>#VALUE!</v>
      </c>
      <c r="R101" s="185" t="e">
        <f t="shared" ca="1" si="31"/>
        <v>#VALUE!</v>
      </c>
      <c r="S101" s="185" t="e">
        <f t="shared" ca="1" si="31"/>
        <v>#VALUE!</v>
      </c>
      <c r="T101" s="185" t="e">
        <f t="shared" ca="1" si="31"/>
        <v>#VALUE!</v>
      </c>
      <c r="U101" s="185" t="e">
        <f t="shared" ca="1" si="31"/>
        <v>#VALUE!</v>
      </c>
      <c r="V101" s="185" t="e">
        <f t="shared" ca="1" si="31"/>
        <v>#VALUE!</v>
      </c>
      <c r="W101" s="185" t="e">
        <f t="shared" ca="1" si="31"/>
        <v>#VALUE!</v>
      </c>
      <c r="X101" s="185" t="e">
        <f t="shared" ca="1" si="31"/>
        <v>#VALUE!</v>
      </c>
      <c r="Y101" s="185" t="e">
        <f t="shared" ca="1" si="31"/>
        <v>#VALUE!</v>
      </c>
      <c r="Z101" s="185" t="e">
        <f t="shared" ca="1" si="31"/>
        <v>#VALUE!</v>
      </c>
      <c r="AA101" s="185" t="e">
        <f t="shared" ca="1" si="31"/>
        <v>#VALUE!</v>
      </c>
      <c r="AB101" s="185" t="e">
        <f t="shared" ca="1" si="31"/>
        <v>#VALUE!</v>
      </c>
      <c r="AC101" s="185" t="e">
        <f t="shared" ca="1" si="31"/>
        <v>#VALUE!</v>
      </c>
      <c r="AD101" s="185" t="e">
        <f t="shared" ca="1" si="31"/>
        <v>#VALUE!</v>
      </c>
      <c r="AE101" s="185" t="e">
        <f t="shared" ca="1" si="31"/>
        <v>#VALUE!</v>
      </c>
      <c r="AF101" s="185" t="e">
        <f t="shared" ca="1" si="31"/>
        <v>#VALUE!</v>
      </c>
      <c r="AG101" s="185" t="e">
        <f t="shared" ca="1" si="31"/>
        <v>#VALUE!</v>
      </c>
      <c r="AH101" s="185" t="e">
        <f t="shared" ca="1" si="31"/>
        <v>#VALUE!</v>
      </c>
      <c r="AI101" s="185" t="e">
        <f t="shared" ca="1" si="30"/>
        <v>#VALUE!</v>
      </c>
      <c r="AJ101" s="185" t="e">
        <f t="shared" ca="1" si="30"/>
        <v>#VALUE!</v>
      </c>
      <c r="AK101" s="185" t="e">
        <f t="shared" ca="1" si="30"/>
        <v>#VALUE!</v>
      </c>
      <c r="AL101" s="185" t="e">
        <f t="shared" ca="1" si="30"/>
        <v>#VALUE!</v>
      </c>
      <c r="AM101" s="185" t="e">
        <f t="shared" ca="1" si="30"/>
        <v>#VALUE!</v>
      </c>
      <c r="AN101" s="185" t="e">
        <f t="shared" ca="1" si="30"/>
        <v>#VALUE!</v>
      </c>
      <c r="AO101" s="185" t="e">
        <f t="shared" ca="1" si="30"/>
        <v>#VALUE!</v>
      </c>
      <c r="AP101" s="185" t="e">
        <f t="shared" ca="1" si="30"/>
        <v>#VALUE!</v>
      </c>
    </row>
    <row r="102" spans="1:42">
      <c r="A102" s="57" t="str">
        <f>'[4]TS BYDem'!A41</f>
        <v>*</v>
      </c>
      <c r="B102" s="185" t="s">
        <v>288</v>
      </c>
      <c r="C102" s="185" t="s">
        <v>137</v>
      </c>
      <c r="D102" s="185" t="str">
        <f>'[4]TS BYDem'!D41</f>
        <v>IFAS</v>
      </c>
      <c r="E102" s="185" t="s">
        <v>137</v>
      </c>
      <c r="F102" s="185" t="s">
        <v>137</v>
      </c>
      <c r="G102" s="185" t="s">
        <v>137</v>
      </c>
      <c r="H102" s="185" t="s">
        <v>137</v>
      </c>
      <c r="I102" s="185">
        <v>0</v>
      </c>
      <c r="J102" s="185" t="str">
        <f>INDEX('[4]TS BYDem'!$J$10:$J$203,MATCH(D102,'[4]TS BYDem'!$D$10:$D$203,0))</f>
        <v/>
      </c>
      <c r="K102" s="185" t="e">
        <f t="shared" ca="1" si="31"/>
        <v>#VALUE!</v>
      </c>
      <c r="L102" s="185" t="e">
        <f t="shared" ca="1" si="31"/>
        <v>#VALUE!</v>
      </c>
      <c r="M102" s="185" t="e">
        <f t="shared" ca="1" si="31"/>
        <v>#VALUE!</v>
      </c>
      <c r="N102" s="185" t="e">
        <f t="shared" ca="1" si="31"/>
        <v>#VALUE!</v>
      </c>
      <c r="O102" s="185" t="e">
        <f t="shared" ca="1" si="31"/>
        <v>#VALUE!</v>
      </c>
      <c r="P102" s="185" t="e">
        <f t="shared" ca="1" si="31"/>
        <v>#VALUE!</v>
      </c>
      <c r="Q102" s="185" t="e">
        <f t="shared" ca="1" si="31"/>
        <v>#VALUE!</v>
      </c>
      <c r="R102" s="185" t="e">
        <f t="shared" ca="1" si="31"/>
        <v>#VALUE!</v>
      </c>
      <c r="S102" s="185" t="e">
        <f t="shared" ca="1" si="31"/>
        <v>#VALUE!</v>
      </c>
      <c r="T102" s="185" t="e">
        <f t="shared" ca="1" si="31"/>
        <v>#VALUE!</v>
      </c>
      <c r="U102" s="185" t="e">
        <f t="shared" ca="1" si="31"/>
        <v>#VALUE!</v>
      </c>
      <c r="V102" s="185" t="e">
        <f t="shared" ca="1" si="31"/>
        <v>#VALUE!</v>
      </c>
      <c r="W102" s="185" t="e">
        <f t="shared" ca="1" si="31"/>
        <v>#VALUE!</v>
      </c>
      <c r="X102" s="185" t="e">
        <f t="shared" ca="1" si="31"/>
        <v>#VALUE!</v>
      </c>
      <c r="Y102" s="185" t="e">
        <f t="shared" ca="1" si="31"/>
        <v>#VALUE!</v>
      </c>
      <c r="Z102" s="185" t="e">
        <f t="shared" ca="1" si="31"/>
        <v>#VALUE!</v>
      </c>
      <c r="AA102" s="185" t="e">
        <f t="shared" ca="1" si="31"/>
        <v>#VALUE!</v>
      </c>
      <c r="AB102" s="185" t="e">
        <f t="shared" ca="1" si="31"/>
        <v>#VALUE!</v>
      </c>
      <c r="AC102" s="185" t="e">
        <f t="shared" ca="1" si="31"/>
        <v>#VALUE!</v>
      </c>
      <c r="AD102" s="185" t="e">
        <f t="shared" ca="1" si="31"/>
        <v>#VALUE!</v>
      </c>
      <c r="AE102" s="185" t="e">
        <f t="shared" ca="1" si="31"/>
        <v>#VALUE!</v>
      </c>
      <c r="AF102" s="185" t="e">
        <f t="shared" ca="1" si="31"/>
        <v>#VALUE!</v>
      </c>
      <c r="AG102" s="185" t="e">
        <f t="shared" ca="1" si="31"/>
        <v>#VALUE!</v>
      </c>
      <c r="AH102" s="185" t="e">
        <f t="shared" ca="1" si="31"/>
        <v>#VALUE!</v>
      </c>
      <c r="AI102" s="185" t="e">
        <f t="shared" ca="1" si="30"/>
        <v>#VALUE!</v>
      </c>
      <c r="AJ102" s="185" t="e">
        <f t="shared" ca="1" si="30"/>
        <v>#VALUE!</v>
      </c>
      <c r="AK102" s="185" t="e">
        <f t="shared" ca="1" si="30"/>
        <v>#VALUE!</v>
      </c>
      <c r="AL102" s="185" t="e">
        <f t="shared" ca="1" si="30"/>
        <v>#VALUE!</v>
      </c>
      <c r="AM102" s="185" t="e">
        <f t="shared" ca="1" si="30"/>
        <v>#VALUE!</v>
      </c>
      <c r="AN102" s="185" t="e">
        <f t="shared" ca="1" si="30"/>
        <v>#VALUE!</v>
      </c>
      <c r="AO102" s="185" t="e">
        <f t="shared" ca="1" si="30"/>
        <v>#VALUE!</v>
      </c>
      <c r="AP102" s="185" t="e">
        <f t="shared" ca="1" si="30"/>
        <v>#VALUE!</v>
      </c>
    </row>
    <row r="103" spans="1:42">
      <c r="A103" s="57" t="str">
        <f>'[4]TS BYDem'!A42</f>
        <v>*</v>
      </c>
      <c r="B103" s="185" t="s">
        <v>288</v>
      </c>
      <c r="C103" s="185" t="s">
        <v>137</v>
      </c>
      <c r="D103" s="185" t="str">
        <f>'[4]TS BYDem'!D42</f>
        <v>IFAS</v>
      </c>
      <c r="E103" s="185" t="s">
        <v>137</v>
      </c>
      <c r="F103" s="185" t="s">
        <v>137</v>
      </c>
      <c r="G103" s="185" t="s">
        <v>137</v>
      </c>
      <c r="H103" s="185" t="s">
        <v>137</v>
      </c>
      <c r="I103" s="185">
        <v>0</v>
      </c>
      <c r="J103" s="185" t="str">
        <f>INDEX('[4]TS BYDem'!$J$10:$J$203,MATCH(D103,'[4]TS BYDem'!$D$10:$D$203,0))</f>
        <v/>
      </c>
      <c r="K103" s="185" t="e">
        <f t="shared" ca="1" si="31"/>
        <v>#VALUE!</v>
      </c>
      <c r="L103" s="185" t="e">
        <f t="shared" ca="1" si="31"/>
        <v>#VALUE!</v>
      </c>
      <c r="M103" s="185" t="e">
        <f t="shared" ca="1" si="31"/>
        <v>#VALUE!</v>
      </c>
      <c r="N103" s="185" t="e">
        <f t="shared" ca="1" si="31"/>
        <v>#VALUE!</v>
      </c>
      <c r="O103" s="185" t="e">
        <f t="shared" ca="1" si="31"/>
        <v>#VALUE!</v>
      </c>
      <c r="P103" s="185" t="e">
        <f t="shared" ca="1" si="31"/>
        <v>#VALUE!</v>
      </c>
      <c r="Q103" s="185" t="e">
        <f t="shared" ca="1" si="31"/>
        <v>#VALUE!</v>
      </c>
      <c r="R103" s="185" t="e">
        <f t="shared" ca="1" si="31"/>
        <v>#VALUE!</v>
      </c>
      <c r="S103" s="185" t="e">
        <f t="shared" ca="1" si="31"/>
        <v>#VALUE!</v>
      </c>
      <c r="T103" s="185" t="e">
        <f t="shared" ca="1" si="31"/>
        <v>#VALUE!</v>
      </c>
      <c r="U103" s="185" t="e">
        <f t="shared" ca="1" si="31"/>
        <v>#VALUE!</v>
      </c>
      <c r="V103" s="185" t="e">
        <f t="shared" ca="1" si="31"/>
        <v>#VALUE!</v>
      </c>
      <c r="W103" s="185" t="e">
        <f t="shared" ca="1" si="31"/>
        <v>#VALUE!</v>
      </c>
      <c r="X103" s="185" t="e">
        <f t="shared" ca="1" si="31"/>
        <v>#VALUE!</v>
      </c>
      <c r="Y103" s="185" t="e">
        <f t="shared" ca="1" si="31"/>
        <v>#VALUE!</v>
      </c>
      <c r="Z103" s="185" t="e">
        <f t="shared" ref="Z103:AO111" ca="1" si="32">Z$91/Y$91*Y103</f>
        <v>#VALUE!</v>
      </c>
      <c r="AA103" s="185" t="e">
        <f t="shared" ca="1" si="32"/>
        <v>#VALUE!</v>
      </c>
      <c r="AB103" s="185" t="e">
        <f t="shared" ca="1" si="32"/>
        <v>#VALUE!</v>
      </c>
      <c r="AC103" s="185" t="e">
        <f t="shared" ca="1" si="32"/>
        <v>#VALUE!</v>
      </c>
      <c r="AD103" s="185" t="e">
        <f t="shared" ca="1" si="32"/>
        <v>#VALUE!</v>
      </c>
      <c r="AE103" s="185" t="e">
        <f t="shared" ca="1" si="32"/>
        <v>#VALUE!</v>
      </c>
      <c r="AF103" s="185" t="e">
        <f t="shared" ca="1" si="32"/>
        <v>#VALUE!</v>
      </c>
      <c r="AG103" s="185" t="e">
        <f t="shared" ca="1" si="32"/>
        <v>#VALUE!</v>
      </c>
      <c r="AH103" s="185" t="e">
        <f t="shared" ca="1" si="32"/>
        <v>#VALUE!</v>
      </c>
      <c r="AI103" s="185" t="e">
        <f t="shared" ca="1" si="30"/>
        <v>#VALUE!</v>
      </c>
      <c r="AJ103" s="185" t="e">
        <f t="shared" ca="1" si="30"/>
        <v>#VALUE!</v>
      </c>
      <c r="AK103" s="185" t="e">
        <f t="shared" ca="1" si="30"/>
        <v>#VALUE!</v>
      </c>
      <c r="AL103" s="185" t="e">
        <f t="shared" ca="1" si="30"/>
        <v>#VALUE!</v>
      </c>
      <c r="AM103" s="185" t="e">
        <f t="shared" ca="1" si="30"/>
        <v>#VALUE!</v>
      </c>
      <c r="AN103" s="185" t="e">
        <f t="shared" ca="1" si="30"/>
        <v>#VALUE!</v>
      </c>
      <c r="AO103" s="185" t="e">
        <f t="shared" ca="1" si="30"/>
        <v>#VALUE!</v>
      </c>
      <c r="AP103" s="185" t="e">
        <f t="shared" ca="1" si="30"/>
        <v>#VALUE!</v>
      </c>
    </row>
    <row r="104" spans="1:42">
      <c r="A104" s="57" t="str">
        <f>'[4]TS BYDem'!A43</f>
        <v>*</v>
      </c>
      <c r="B104" s="185" t="s">
        <v>288</v>
      </c>
      <c r="C104" s="185" t="s">
        <v>137</v>
      </c>
      <c r="D104" s="185" t="str">
        <f>'[4]TS BYDem'!D43</f>
        <v>IFAS</v>
      </c>
      <c r="E104" s="185" t="s">
        <v>137</v>
      </c>
      <c r="F104" s="185" t="s">
        <v>137</v>
      </c>
      <c r="G104" s="185" t="s">
        <v>137</v>
      </c>
      <c r="H104" s="185" t="s">
        <v>137</v>
      </c>
      <c r="I104" s="185">
        <v>0</v>
      </c>
      <c r="J104" s="185" t="str">
        <f>INDEX('[4]TS BYDem'!$J$10:$J$203,MATCH(D104,'[4]TS BYDem'!$D$10:$D$203,0))</f>
        <v/>
      </c>
      <c r="K104" s="185" t="e">
        <f t="shared" ref="K104:Y111" ca="1" si="33">K$91/J$91*J104</f>
        <v>#VALUE!</v>
      </c>
      <c r="L104" s="185" t="e">
        <f t="shared" ca="1" si="33"/>
        <v>#VALUE!</v>
      </c>
      <c r="M104" s="185" t="e">
        <f t="shared" ca="1" si="33"/>
        <v>#VALUE!</v>
      </c>
      <c r="N104" s="185" t="e">
        <f t="shared" ca="1" si="33"/>
        <v>#VALUE!</v>
      </c>
      <c r="O104" s="185" t="e">
        <f t="shared" ca="1" si="33"/>
        <v>#VALUE!</v>
      </c>
      <c r="P104" s="185" t="e">
        <f t="shared" ca="1" si="33"/>
        <v>#VALUE!</v>
      </c>
      <c r="Q104" s="185" t="e">
        <f t="shared" ca="1" si="33"/>
        <v>#VALUE!</v>
      </c>
      <c r="R104" s="185" t="e">
        <f t="shared" ca="1" si="33"/>
        <v>#VALUE!</v>
      </c>
      <c r="S104" s="185" t="e">
        <f t="shared" ca="1" si="33"/>
        <v>#VALUE!</v>
      </c>
      <c r="T104" s="185" t="e">
        <f t="shared" ca="1" si="33"/>
        <v>#VALUE!</v>
      </c>
      <c r="U104" s="185" t="e">
        <f t="shared" ca="1" si="33"/>
        <v>#VALUE!</v>
      </c>
      <c r="V104" s="185" t="e">
        <f t="shared" ca="1" si="33"/>
        <v>#VALUE!</v>
      </c>
      <c r="W104" s="185" t="e">
        <f t="shared" ca="1" si="33"/>
        <v>#VALUE!</v>
      </c>
      <c r="X104" s="185" t="e">
        <f t="shared" ca="1" si="33"/>
        <v>#VALUE!</v>
      </c>
      <c r="Y104" s="185" t="e">
        <f t="shared" ca="1" si="33"/>
        <v>#VALUE!</v>
      </c>
      <c r="Z104" s="185" t="e">
        <f t="shared" ca="1" si="32"/>
        <v>#VALUE!</v>
      </c>
      <c r="AA104" s="185" t="e">
        <f t="shared" ca="1" si="32"/>
        <v>#VALUE!</v>
      </c>
      <c r="AB104" s="185" t="e">
        <f t="shared" ca="1" si="32"/>
        <v>#VALUE!</v>
      </c>
      <c r="AC104" s="185" t="e">
        <f t="shared" ca="1" si="32"/>
        <v>#VALUE!</v>
      </c>
      <c r="AD104" s="185" t="e">
        <f t="shared" ca="1" si="32"/>
        <v>#VALUE!</v>
      </c>
      <c r="AE104" s="185" t="e">
        <f t="shared" ca="1" si="32"/>
        <v>#VALUE!</v>
      </c>
      <c r="AF104" s="185" t="e">
        <f t="shared" ca="1" si="32"/>
        <v>#VALUE!</v>
      </c>
      <c r="AG104" s="185" t="e">
        <f t="shared" ca="1" si="32"/>
        <v>#VALUE!</v>
      </c>
      <c r="AH104" s="185" t="e">
        <f t="shared" ca="1" si="32"/>
        <v>#VALUE!</v>
      </c>
      <c r="AI104" s="185" t="e">
        <f t="shared" ca="1" si="30"/>
        <v>#VALUE!</v>
      </c>
      <c r="AJ104" s="185" t="e">
        <f t="shared" ca="1" si="30"/>
        <v>#VALUE!</v>
      </c>
      <c r="AK104" s="185" t="e">
        <f t="shared" ca="1" si="30"/>
        <v>#VALUE!</v>
      </c>
      <c r="AL104" s="185" t="e">
        <f t="shared" ca="1" si="30"/>
        <v>#VALUE!</v>
      </c>
      <c r="AM104" s="185" t="e">
        <f t="shared" ca="1" si="30"/>
        <v>#VALUE!</v>
      </c>
      <c r="AN104" s="185" t="e">
        <f t="shared" ca="1" si="30"/>
        <v>#VALUE!</v>
      </c>
      <c r="AO104" s="185" t="e">
        <f t="shared" ca="1" si="30"/>
        <v>#VALUE!</v>
      </c>
      <c r="AP104" s="185" t="e">
        <f t="shared" ca="1" si="30"/>
        <v>#VALUE!</v>
      </c>
    </row>
    <row r="105" spans="1:42">
      <c r="A105" s="57" t="str">
        <f>'[4]TS BYDem'!A44</f>
        <v>*</v>
      </c>
      <c r="B105" s="185" t="s">
        <v>288</v>
      </c>
      <c r="C105" s="185" t="s">
        <v>137</v>
      </c>
      <c r="D105" s="185" t="str">
        <f>'[4]TS BYDem'!D44</f>
        <v>IFAS</v>
      </c>
      <c r="E105" s="185" t="s">
        <v>137</v>
      </c>
      <c r="F105" s="185" t="s">
        <v>137</v>
      </c>
      <c r="G105" s="185" t="s">
        <v>137</v>
      </c>
      <c r="H105" s="185" t="s">
        <v>137</v>
      </c>
      <c r="I105" s="185">
        <v>0</v>
      </c>
      <c r="J105" s="185" t="str">
        <f>INDEX('[4]TS BYDem'!$J$10:$J$203,MATCH(D105,'[4]TS BYDem'!$D$10:$D$203,0))</f>
        <v/>
      </c>
      <c r="K105" s="185" t="e">
        <f t="shared" ca="1" si="33"/>
        <v>#VALUE!</v>
      </c>
      <c r="L105" s="185" t="e">
        <f t="shared" ca="1" si="33"/>
        <v>#VALUE!</v>
      </c>
      <c r="M105" s="185" t="e">
        <f t="shared" ca="1" si="33"/>
        <v>#VALUE!</v>
      </c>
      <c r="N105" s="185" t="e">
        <f t="shared" ca="1" si="33"/>
        <v>#VALUE!</v>
      </c>
      <c r="O105" s="185" t="e">
        <f t="shared" ca="1" si="33"/>
        <v>#VALUE!</v>
      </c>
      <c r="P105" s="185" t="e">
        <f t="shared" ca="1" si="33"/>
        <v>#VALUE!</v>
      </c>
      <c r="Q105" s="185" t="e">
        <f t="shared" ca="1" si="33"/>
        <v>#VALUE!</v>
      </c>
      <c r="R105" s="185" t="e">
        <f t="shared" ca="1" si="33"/>
        <v>#VALUE!</v>
      </c>
      <c r="S105" s="185" t="e">
        <f t="shared" ca="1" si="33"/>
        <v>#VALUE!</v>
      </c>
      <c r="T105" s="185" t="e">
        <f t="shared" ca="1" si="33"/>
        <v>#VALUE!</v>
      </c>
      <c r="U105" s="185" t="e">
        <f t="shared" ca="1" si="33"/>
        <v>#VALUE!</v>
      </c>
      <c r="V105" s="185" t="e">
        <f t="shared" ca="1" si="33"/>
        <v>#VALUE!</v>
      </c>
      <c r="W105" s="185" t="e">
        <f t="shared" ca="1" si="33"/>
        <v>#VALUE!</v>
      </c>
      <c r="X105" s="185" t="e">
        <f t="shared" ca="1" si="33"/>
        <v>#VALUE!</v>
      </c>
      <c r="Y105" s="185" t="e">
        <f t="shared" ca="1" si="33"/>
        <v>#VALUE!</v>
      </c>
      <c r="Z105" s="185" t="e">
        <f t="shared" ca="1" si="32"/>
        <v>#VALUE!</v>
      </c>
      <c r="AA105" s="185" t="e">
        <f t="shared" ca="1" si="32"/>
        <v>#VALUE!</v>
      </c>
      <c r="AB105" s="185" t="e">
        <f t="shared" ca="1" si="32"/>
        <v>#VALUE!</v>
      </c>
      <c r="AC105" s="185" t="e">
        <f t="shared" ca="1" si="32"/>
        <v>#VALUE!</v>
      </c>
      <c r="AD105" s="185" t="e">
        <f t="shared" ca="1" si="32"/>
        <v>#VALUE!</v>
      </c>
      <c r="AE105" s="185" t="e">
        <f t="shared" ca="1" si="32"/>
        <v>#VALUE!</v>
      </c>
      <c r="AF105" s="185" t="e">
        <f t="shared" ca="1" si="32"/>
        <v>#VALUE!</v>
      </c>
      <c r="AG105" s="185" t="e">
        <f t="shared" ca="1" si="32"/>
        <v>#VALUE!</v>
      </c>
      <c r="AH105" s="185" t="e">
        <f t="shared" ca="1" si="32"/>
        <v>#VALUE!</v>
      </c>
      <c r="AI105" s="185" t="e">
        <f t="shared" ca="1" si="30"/>
        <v>#VALUE!</v>
      </c>
      <c r="AJ105" s="185" t="e">
        <f t="shared" ca="1" si="30"/>
        <v>#VALUE!</v>
      </c>
      <c r="AK105" s="185" t="e">
        <f t="shared" ca="1" si="30"/>
        <v>#VALUE!</v>
      </c>
      <c r="AL105" s="185" t="e">
        <f t="shared" ca="1" si="30"/>
        <v>#VALUE!</v>
      </c>
      <c r="AM105" s="185" t="e">
        <f t="shared" ca="1" si="30"/>
        <v>#VALUE!</v>
      </c>
      <c r="AN105" s="185" t="e">
        <f t="shared" ca="1" si="30"/>
        <v>#VALUE!</v>
      </c>
      <c r="AO105" s="185" t="e">
        <f t="shared" ca="1" si="30"/>
        <v>#VALUE!</v>
      </c>
      <c r="AP105" s="185" t="e">
        <f t="shared" ca="1" si="30"/>
        <v>#VALUE!</v>
      </c>
    </row>
    <row r="106" spans="1:42">
      <c r="A106" s="57" t="str">
        <f>'[4]TS BYDem'!A45</f>
        <v>*</v>
      </c>
      <c r="B106" s="185" t="s">
        <v>288</v>
      </c>
      <c r="C106" s="185" t="s">
        <v>137</v>
      </c>
      <c r="D106" s="185" t="str">
        <f>'[4]TS BYDem'!D45</f>
        <v>IFAS</v>
      </c>
      <c r="E106" s="185" t="s">
        <v>137</v>
      </c>
      <c r="F106" s="185" t="s">
        <v>137</v>
      </c>
      <c r="G106" s="185" t="s">
        <v>137</v>
      </c>
      <c r="H106" s="185" t="s">
        <v>137</v>
      </c>
      <c r="I106" s="185">
        <v>0</v>
      </c>
      <c r="J106" s="185" t="str">
        <f>INDEX('[4]TS BYDem'!$J$10:$J$203,MATCH(D106,'[4]TS BYDem'!$D$10:$D$203,0))</f>
        <v/>
      </c>
      <c r="K106" s="185" t="e">
        <f t="shared" ca="1" si="33"/>
        <v>#VALUE!</v>
      </c>
      <c r="L106" s="185" t="e">
        <f t="shared" ca="1" si="33"/>
        <v>#VALUE!</v>
      </c>
      <c r="M106" s="185" t="e">
        <f t="shared" ca="1" si="33"/>
        <v>#VALUE!</v>
      </c>
      <c r="N106" s="185" t="e">
        <f t="shared" ca="1" si="33"/>
        <v>#VALUE!</v>
      </c>
      <c r="O106" s="185" t="e">
        <f t="shared" ca="1" si="33"/>
        <v>#VALUE!</v>
      </c>
      <c r="P106" s="185" t="e">
        <f t="shared" ca="1" si="33"/>
        <v>#VALUE!</v>
      </c>
      <c r="Q106" s="185" t="e">
        <f t="shared" ca="1" si="33"/>
        <v>#VALUE!</v>
      </c>
      <c r="R106" s="185" t="e">
        <f t="shared" ca="1" si="33"/>
        <v>#VALUE!</v>
      </c>
      <c r="S106" s="185" t="e">
        <f t="shared" ca="1" si="33"/>
        <v>#VALUE!</v>
      </c>
      <c r="T106" s="185" t="e">
        <f t="shared" ca="1" si="33"/>
        <v>#VALUE!</v>
      </c>
      <c r="U106" s="185" t="e">
        <f t="shared" ca="1" si="33"/>
        <v>#VALUE!</v>
      </c>
      <c r="V106" s="185" t="e">
        <f t="shared" ca="1" si="33"/>
        <v>#VALUE!</v>
      </c>
      <c r="W106" s="185" t="e">
        <f t="shared" ca="1" si="33"/>
        <v>#VALUE!</v>
      </c>
      <c r="X106" s="185" t="e">
        <f t="shared" ca="1" si="33"/>
        <v>#VALUE!</v>
      </c>
      <c r="Y106" s="185" t="e">
        <f t="shared" ca="1" si="33"/>
        <v>#VALUE!</v>
      </c>
      <c r="Z106" s="185" t="e">
        <f t="shared" ca="1" si="32"/>
        <v>#VALUE!</v>
      </c>
      <c r="AA106" s="185" t="e">
        <f t="shared" ca="1" si="32"/>
        <v>#VALUE!</v>
      </c>
      <c r="AB106" s="185" t="e">
        <f t="shared" ca="1" si="32"/>
        <v>#VALUE!</v>
      </c>
      <c r="AC106" s="185" t="e">
        <f t="shared" ca="1" si="32"/>
        <v>#VALUE!</v>
      </c>
      <c r="AD106" s="185" t="e">
        <f t="shared" ca="1" si="32"/>
        <v>#VALUE!</v>
      </c>
      <c r="AE106" s="185" t="e">
        <f t="shared" ca="1" si="32"/>
        <v>#VALUE!</v>
      </c>
      <c r="AF106" s="185" t="e">
        <f t="shared" ca="1" si="32"/>
        <v>#VALUE!</v>
      </c>
      <c r="AG106" s="185" t="e">
        <f t="shared" ca="1" si="32"/>
        <v>#VALUE!</v>
      </c>
      <c r="AH106" s="185" t="e">
        <f t="shared" ca="1" si="32"/>
        <v>#VALUE!</v>
      </c>
      <c r="AI106" s="185" t="e">
        <f t="shared" ca="1" si="30"/>
        <v>#VALUE!</v>
      </c>
      <c r="AJ106" s="185" t="e">
        <f t="shared" ca="1" si="30"/>
        <v>#VALUE!</v>
      </c>
      <c r="AK106" s="185" t="e">
        <f t="shared" ca="1" si="30"/>
        <v>#VALUE!</v>
      </c>
      <c r="AL106" s="185" t="e">
        <f t="shared" ca="1" si="30"/>
        <v>#VALUE!</v>
      </c>
      <c r="AM106" s="185" t="e">
        <f t="shared" ca="1" si="30"/>
        <v>#VALUE!</v>
      </c>
      <c r="AN106" s="185" t="e">
        <f t="shared" ca="1" si="30"/>
        <v>#VALUE!</v>
      </c>
      <c r="AO106" s="185" t="e">
        <f t="shared" ca="1" si="30"/>
        <v>#VALUE!</v>
      </c>
      <c r="AP106" s="185" t="e">
        <f t="shared" ca="1" si="30"/>
        <v>#VALUE!</v>
      </c>
    </row>
    <row r="107" spans="1:42">
      <c r="A107" s="57" t="str">
        <f>'[4]TS BYDem'!A46</f>
        <v>*</v>
      </c>
      <c r="B107" s="185" t="s">
        <v>288</v>
      </c>
      <c r="C107" s="185" t="s">
        <v>137</v>
      </c>
      <c r="D107" s="185" t="str">
        <f>'[4]TS BYDem'!D46</f>
        <v>IFAS</v>
      </c>
      <c r="E107" s="185" t="s">
        <v>137</v>
      </c>
      <c r="F107" s="185" t="s">
        <v>137</v>
      </c>
      <c r="G107" s="185" t="s">
        <v>137</v>
      </c>
      <c r="H107" s="185" t="s">
        <v>137</v>
      </c>
      <c r="I107" s="185">
        <v>0</v>
      </c>
      <c r="J107" s="185" t="str">
        <f>INDEX('[4]TS BYDem'!$J$10:$J$203,MATCH(D107,'[4]TS BYDem'!$D$10:$D$203,0))</f>
        <v/>
      </c>
      <c r="K107" s="185" t="e">
        <f t="shared" ca="1" si="33"/>
        <v>#VALUE!</v>
      </c>
      <c r="L107" s="185" t="e">
        <f t="shared" ca="1" si="33"/>
        <v>#VALUE!</v>
      </c>
      <c r="M107" s="185" t="e">
        <f t="shared" ca="1" si="33"/>
        <v>#VALUE!</v>
      </c>
      <c r="N107" s="185" t="e">
        <f t="shared" ca="1" si="33"/>
        <v>#VALUE!</v>
      </c>
      <c r="O107" s="185" t="e">
        <f t="shared" ca="1" si="33"/>
        <v>#VALUE!</v>
      </c>
      <c r="P107" s="185" t="e">
        <f t="shared" ca="1" si="33"/>
        <v>#VALUE!</v>
      </c>
      <c r="Q107" s="185" t="e">
        <f t="shared" ca="1" si="33"/>
        <v>#VALUE!</v>
      </c>
      <c r="R107" s="185" t="e">
        <f t="shared" ca="1" si="33"/>
        <v>#VALUE!</v>
      </c>
      <c r="S107" s="185" t="e">
        <f t="shared" ca="1" si="33"/>
        <v>#VALUE!</v>
      </c>
      <c r="T107" s="185" t="e">
        <f t="shared" ca="1" si="33"/>
        <v>#VALUE!</v>
      </c>
      <c r="U107" s="185" t="e">
        <f t="shared" ca="1" si="33"/>
        <v>#VALUE!</v>
      </c>
      <c r="V107" s="185" t="e">
        <f t="shared" ca="1" si="33"/>
        <v>#VALUE!</v>
      </c>
      <c r="W107" s="185" t="e">
        <f t="shared" ca="1" si="33"/>
        <v>#VALUE!</v>
      </c>
      <c r="X107" s="185" t="e">
        <f t="shared" ca="1" si="33"/>
        <v>#VALUE!</v>
      </c>
      <c r="Y107" s="185" t="e">
        <f t="shared" ca="1" si="33"/>
        <v>#VALUE!</v>
      </c>
      <c r="Z107" s="185" t="e">
        <f t="shared" ca="1" si="32"/>
        <v>#VALUE!</v>
      </c>
      <c r="AA107" s="185" t="e">
        <f t="shared" ca="1" si="32"/>
        <v>#VALUE!</v>
      </c>
      <c r="AB107" s="185" t="e">
        <f t="shared" ca="1" si="32"/>
        <v>#VALUE!</v>
      </c>
      <c r="AC107" s="185" t="e">
        <f t="shared" ca="1" si="32"/>
        <v>#VALUE!</v>
      </c>
      <c r="AD107" s="185" t="e">
        <f t="shared" ca="1" si="32"/>
        <v>#VALUE!</v>
      </c>
      <c r="AE107" s="185" t="e">
        <f t="shared" ca="1" si="32"/>
        <v>#VALUE!</v>
      </c>
      <c r="AF107" s="185" t="e">
        <f t="shared" ca="1" si="32"/>
        <v>#VALUE!</v>
      </c>
      <c r="AG107" s="185" t="e">
        <f t="shared" ca="1" si="32"/>
        <v>#VALUE!</v>
      </c>
      <c r="AH107" s="185" t="e">
        <f t="shared" ca="1" si="32"/>
        <v>#VALUE!</v>
      </c>
      <c r="AI107" s="185" t="e">
        <f t="shared" ca="1" si="30"/>
        <v>#VALUE!</v>
      </c>
      <c r="AJ107" s="185" t="e">
        <f t="shared" ca="1" si="30"/>
        <v>#VALUE!</v>
      </c>
      <c r="AK107" s="185" t="e">
        <f t="shared" ca="1" si="30"/>
        <v>#VALUE!</v>
      </c>
      <c r="AL107" s="185" t="e">
        <f t="shared" ca="1" si="30"/>
        <v>#VALUE!</v>
      </c>
      <c r="AM107" s="185" t="e">
        <f t="shared" ca="1" si="30"/>
        <v>#VALUE!</v>
      </c>
      <c r="AN107" s="185" t="e">
        <f t="shared" ca="1" si="30"/>
        <v>#VALUE!</v>
      </c>
      <c r="AO107" s="185" t="e">
        <f t="shared" ca="1" si="30"/>
        <v>#VALUE!</v>
      </c>
      <c r="AP107" s="185" t="e">
        <f t="shared" ca="1" si="30"/>
        <v>#VALUE!</v>
      </c>
    </row>
    <row r="108" spans="1:42">
      <c r="A108" s="57" t="str">
        <f>'[4]TS BYDem'!A47</f>
        <v>*</v>
      </c>
      <c r="B108" s="185" t="s">
        <v>288</v>
      </c>
      <c r="C108" s="185" t="s">
        <v>137</v>
      </c>
      <c r="D108" s="185">
        <f>'[4]TS BYDem'!D47</f>
        <v>0</v>
      </c>
      <c r="E108" s="185" t="s">
        <v>137</v>
      </c>
      <c r="F108" s="185" t="s">
        <v>137</v>
      </c>
      <c r="G108" s="185" t="s">
        <v>137</v>
      </c>
      <c r="H108" s="185" t="s">
        <v>137</v>
      </c>
      <c r="I108" s="185">
        <v>0</v>
      </c>
      <c r="J108" s="185" t="str">
        <f>INDEX('[4]TS BYDem'!$J$10:$J$203,MATCH(D108,'[4]TS BYDem'!$D$10:$D$203,0))</f>
        <v/>
      </c>
      <c r="K108" s="185" t="e">
        <f t="shared" ca="1" si="33"/>
        <v>#VALUE!</v>
      </c>
      <c r="L108" s="185" t="e">
        <f t="shared" ca="1" si="33"/>
        <v>#VALUE!</v>
      </c>
      <c r="M108" s="185" t="e">
        <f t="shared" ca="1" si="33"/>
        <v>#VALUE!</v>
      </c>
      <c r="N108" s="185" t="e">
        <f t="shared" ca="1" si="33"/>
        <v>#VALUE!</v>
      </c>
      <c r="O108" s="185" t="e">
        <f t="shared" ca="1" si="33"/>
        <v>#VALUE!</v>
      </c>
      <c r="P108" s="185" t="e">
        <f t="shared" ca="1" si="33"/>
        <v>#VALUE!</v>
      </c>
      <c r="Q108" s="185" t="e">
        <f t="shared" ca="1" si="33"/>
        <v>#VALUE!</v>
      </c>
      <c r="R108" s="185" t="e">
        <f t="shared" ca="1" si="33"/>
        <v>#VALUE!</v>
      </c>
      <c r="S108" s="185" t="e">
        <f t="shared" ca="1" si="33"/>
        <v>#VALUE!</v>
      </c>
      <c r="T108" s="185" t="e">
        <f t="shared" ca="1" si="33"/>
        <v>#VALUE!</v>
      </c>
      <c r="U108" s="185" t="e">
        <f t="shared" ca="1" si="33"/>
        <v>#VALUE!</v>
      </c>
      <c r="V108" s="185" t="e">
        <f t="shared" ca="1" si="33"/>
        <v>#VALUE!</v>
      </c>
      <c r="W108" s="185" t="e">
        <f t="shared" ca="1" si="33"/>
        <v>#VALUE!</v>
      </c>
      <c r="X108" s="185" t="e">
        <f t="shared" ca="1" si="33"/>
        <v>#VALUE!</v>
      </c>
      <c r="Y108" s="185" t="e">
        <f t="shared" ca="1" si="33"/>
        <v>#VALUE!</v>
      </c>
      <c r="Z108" s="185" t="e">
        <f t="shared" ca="1" si="32"/>
        <v>#VALUE!</v>
      </c>
      <c r="AA108" s="185" t="e">
        <f t="shared" ca="1" si="32"/>
        <v>#VALUE!</v>
      </c>
      <c r="AB108" s="185" t="e">
        <f t="shared" ca="1" si="32"/>
        <v>#VALUE!</v>
      </c>
      <c r="AC108" s="185" t="e">
        <f t="shared" ca="1" si="32"/>
        <v>#VALUE!</v>
      </c>
      <c r="AD108" s="185" t="e">
        <f t="shared" ca="1" si="32"/>
        <v>#VALUE!</v>
      </c>
      <c r="AE108" s="185" t="e">
        <f t="shared" ca="1" si="32"/>
        <v>#VALUE!</v>
      </c>
      <c r="AF108" s="185" t="e">
        <f t="shared" ca="1" si="32"/>
        <v>#VALUE!</v>
      </c>
      <c r="AG108" s="185" t="e">
        <f t="shared" ca="1" si="32"/>
        <v>#VALUE!</v>
      </c>
      <c r="AH108" s="185" t="e">
        <f t="shared" ca="1" si="32"/>
        <v>#VALUE!</v>
      </c>
      <c r="AI108" s="185" t="e">
        <f t="shared" ca="1" si="32"/>
        <v>#VALUE!</v>
      </c>
      <c r="AJ108" s="185" t="e">
        <f t="shared" ca="1" si="32"/>
        <v>#VALUE!</v>
      </c>
      <c r="AK108" s="185" t="e">
        <f t="shared" ca="1" si="32"/>
        <v>#VALUE!</v>
      </c>
      <c r="AL108" s="185" t="e">
        <f t="shared" ca="1" si="32"/>
        <v>#VALUE!</v>
      </c>
      <c r="AM108" s="185" t="e">
        <f t="shared" ca="1" si="32"/>
        <v>#VALUE!</v>
      </c>
      <c r="AN108" s="185" t="e">
        <f t="shared" ca="1" si="32"/>
        <v>#VALUE!</v>
      </c>
      <c r="AO108" s="185" t="e">
        <f t="shared" ca="1" si="32"/>
        <v>#VALUE!</v>
      </c>
      <c r="AP108" s="185" t="e">
        <f t="shared" ref="AP108:AP111" ca="1" si="34">AP$91/AO$91*AO108</f>
        <v>#VALUE!</v>
      </c>
    </row>
    <row r="109" spans="1:42">
      <c r="A109" s="57" t="str">
        <f>'[4]TS BYDem'!A48</f>
        <v>*</v>
      </c>
      <c r="B109" s="185" t="s">
        <v>288</v>
      </c>
      <c r="C109" s="185" t="s">
        <v>137</v>
      </c>
      <c r="D109" s="185" t="str">
        <f>'[4]TS BYDem'!D48</f>
        <v>IFAR</v>
      </c>
      <c r="E109" s="185" t="s">
        <v>137</v>
      </c>
      <c r="F109" s="185" t="s">
        <v>137</v>
      </c>
      <c r="G109" s="185" t="s">
        <v>137</v>
      </c>
      <c r="H109" s="185" t="s">
        <v>137</v>
      </c>
      <c r="I109" s="185">
        <v>0</v>
      </c>
      <c r="J109" s="185" t="str">
        <f>INDEX('[4]TS BYDem'!$J$10:$J$203,MATCH(D109,'[4]TS BYDem'!$D$10:$D$203,0))</f>
        <v/>
      </c>
      <c r="K109" s="185" t="e">
        <f t="shared" ca="1" si="33"/>
        <v>#VALUE!</v>
      </c>
      <c r="L109" s="185" t="e">
        <f t="shared" ca="1" si="33"/>
        <v>#VALUE!</v>
      </c>
      <c r="M109" s="185" t="e">
        <f t="shared" ca="1" si="33"/>
        <v>#VALUE!</v>
      </c>
      <c r="N109" s="185" t="e">
        <f t="shared" ca="1" si="33"/>
        <v>#VALUE!</v>
      </c>
      <c r="O109" s="185" t="e">
        <f t="shared" ca="1" si="33"/>
        <v>#VALUE!</v>
      </c>
      <c r="P109" s="185" t="e">
        <f t="shared" ca="1" si="33"/>
        <v>#VALUE!</v>
      </c>
      <c r="Q109" s="185" t="e">
        <f t="shared" ca="1" si="33"/>
        <v>#VALUE!</v>
      </c>
      <c r="R109" s="185" t="e">
        <f t="shared" ca="1" si="33"/>
        <v>#VALUE!</v>
      </c>
      <c r="S109" s="185" t="e">
        <f t="shared" ca="1" si="33"/>
        <v>#VALUE!</v>
      </c>
      <c r="T109" s="185" t="e">
        <f t="shared" ca="1" si="33"/>
        <v>#VALUE!</v>
      </c>
      <c r="U109" s="185" t="e">
        <f t="shared" ca="1" si="33"/>
        <v>#VALUE!</v>
      </c>
      <c r="V109" s="185" t="e">
        <f t="shared" ca="1" si="33"/>
        <v>#VALUE!</v>
      </c>
      <c r="W109" s="185" t="e">
        <f t="shared" ca="1" si="33"/>
        <v>#VALUE!</v>
      </c>
      <c r="X109" s="185" t="e">
        <f t="shared" ca="1" si="33"/>
        <v>#VALUE!</v>
      </c>
      <c r="Y109" s="185" t="e">
        <f t="shared" ca="1" si="33"/>
        <v>#VALUE!</v>
      </c>
      <c r="Z109" s="185" t="e">
        <f t="shared" ca="1" si="32"/>
        <v>#VALUE!</v>
      </c>
      <c r="AA109" s="185" t="e">
        <f t="shared" ca="1" si="32"/>
        <v>#VALUE!</v>
      </c>
      <c r="AB109" s="185" t="e">
        <f t="shared" ca="1" si="32"/>
        <v>#VALUE!</v>
      </c>
      <c r="AC109" s="185" t="e">
        <f t="shared" ca="1" si="32"/>
        <v>#VALUE!</v>
      </c>
      <c r="AD109" s="185" t="e">
        <f t="shared" ca="1" si="32"/>
        <v>#VALUE!</v>
      </c>
      <c r="AE109" s="185" t="e">
        <f t="shared" ca="1" si="32"/>
        <v>#VALUE!</v>
      </c>
      <c r="AF109" s="185" t="e">
        <f t="shared" ca="1" si="32"/>
        <v>#VALUE!</v>
      </c>
      <c r="AG109" s="185" t="e">
        <f t="shared" ca="1" si="32"/>
        <v>#VALUE!</v>
      </c>
      <c r="AH109" s="185" t="e">
        <f t="shared" ca="1" si="32"/>
        <v>#VALUE!</v>
      </c>
      <c r="AI109" s="185" t="e">
        <f t="shared" ca="1" si="32"/>
        <v>#VALUE!</v>
      </c>
      <c r="AJ109" s="185" t="e">
        <f t="shared" ca="1" si="32"/>
        <v>#VALUE!</v>
      </c>
      <c r="AK109" s="185" t="e">
        <f t="shared" ca="1" si="32"/>
        <v>#VALUE!</v>
      </c>
      <c r="AL109" s="185" t="e">
        <f t="shared" ca="1" si="32"/>
        <v>#VALUE!</v>
      </c>
      <c r="AM109" s="185" t="e">
        <f t="shared" ca="1" si="32"/>
        <v>#VALUE!</v>
      </c>
      <c r="AN109" s="185" t="e">
        <f t="shared" ca="1" si="32"/>
        <v>#VALUE!</v>
      </c>
      <c r="AO109" s="185" t="e">
        <f t="shared" ca="1" si="32"/>
        <v>#VALUE!</v>
      </c>
      <c r="AP109" s="185" t="e">
        <f t="shared" ca="1" si="34"/>
        <v>#VALUE!</v>
      </c>
    </row>
    <row r="110" spans="1:42">
      <c r="A110" s="57" t="str">
        <f>'[4]TS BYDem'!A49</f>
        <v>*</v>
      </c>
      <c r="B110" s="185" t="s">
        <v>288</v>
      </c>
      <c r="C110" s="185" t="s">
        <v>137</v>
      </c>
      <c r="D110" s="185" t="str">
        <f>'[4]TS BYDem'!D49</f>
        <v>Useful Energy Service</v>
      </c>
      <c r="E110" s="185" t="s">
        <v>137</v>
      </c>
      <c r="F110" s="185" t="s">
        <v>137</v>
      </c>
      <c r="G110" s="185" t="s">
        <v>137</v>
      </c>
      <c r="H110" s="185" t="s">
        <v>137</v>
      </c>
      <c r="I110" s="185">
        <v>0</v>
      </c>
      <c r="J110" s="185" t="str">
        <f>INDEX('[4]TS BYDem'!$J$10:$J$203,MATCH(D110,'[4]TS BYDem'!$D$10:$D$203,0))</f>
        <v/>
      </c>
      <c r="K110" s="185" t="e">
        <f t="shared" ca="1" si="33"/>
        <v>#VALUE!</v>
      </c>
      <c r="L110" s="185" t="e">
        <f t="shared" ca="1" si="33"/>
        <v>#VALUE!</v>
      </c>
      <c r="M110" s="185" t="e">
        <f t="shared" ca="1" si="33"/>
        <v>#VALUE!</v>
      </c>
      <c r="N110" s="185" t="e">
        <f t="shared" ca="1" si="33"/>
        <v>#VALUE!</v>
      </c>
      <c r="O110" s="185" t="e">
        <f t="shared" ca="1" si="33"/>
        <v>#VALUE!</v>
      </c>
      <c r="P110" s="185" t="e">
        <f t="shared" ca="1" si="33"/>
        <v>#VALUE!</v>
      </c>
      <c r="Q110" s="185" t="e">
        <f t="shared" ca="1" si="33"/>
        <v>#VALUE!</v>
      </c>
      <c r="R110" s="185" t="e">
        <f t="shared" ca="1" si="33"/>
        <v>#VALUE!</v>
      </c>
      <c r="S110" s="185" t="e">
        <f t="shared" ca="1" si="33"/>
        <v>#VALUE!</v>
      </c>
      <c r="T110" s="185" t="e">
        <f t="shared" ca="1" si="33"/>
        <v>#VALUE!</v>
      </c>
      <c r="U110" s="185" t="e">
        <f t="shared" ca="1" si="33"/>
        <v>#VALUE!</v>
      </c>
      <c r="V110" s="185" t="e">
        <f t="shared" ca="1" si="33"/>
        <v>#VALUE!</v>
      </c>
      <c r="W110" s="185" t="e">
        <f t="shared" ca="1" si="33"/>
        <v>#VALUE!</v>
      </c>
      <c r="X110" s="185" t="e">
        <f t="shared" ca="1" si="33"/>
        <v>#VALUE!</v>
      </c>
      <c r="Y110" s="185" t="e">
        <f t="shared" ca="1" si="33"/>
        <v>#VALUE!</v>
      </c>
      <c r="Z110" s="185" t="e">
        <f t="shared" ca="1" si="32"/>
        <v>#VALUE!</v>
      </c>
      <c r="AA110" s="185" t="e">
        <f t="shared" ca="1" si="32"/>
        <v>#VALUE!</v>
      </c>
      <c r="AB110" s="185" t="e">
        <f t="shared" ca="1" si="32"/>
        <v>#VALUE!</v>
      </c>
      <c r="AC110" s="185" t="e">
        <f t="shared" ca="1" si="32"/>
        <v>#VALUE!</v>
      </c>
      <c r="AD110" s="185" t="e">
        <f t="shared" ca="1" si="32"/>
        <v>#VALUE!</v>
      </c>
      <c r="AE110" s="185" t="e">
        <f t="shared" ca="1" si="32"/>
        <v>#VALUE!</v>
      </c>
      <c r="AF110" s="185" t="e">
        <f t="shared" ca="1" si="32"/>
        <v>#VALUE!</v>
      </c>
      <c r="AG110" s="185" t="e">
        <f t="shared" ca="1" si="32"/>
        <v>#VALUE!</v>
      </c>
      <c r="AH110" s="185" t="e">
        <f t="shared" ca="1" si="32"/>
        <v>#VALUE!</v>
      </c>
      <c r="AI110" s="185" t="e">
        <f t="shared" ca="1" si="32"/>
        <v>#VALUE!</v>
      </c>
      <c r="AJ110" s="185" t="e">
        <f t="shared" ca="1" si="32"/>
        <v>#VALUE!</v>
      </c>
      <c r="AK110" s="185" t="e">
        <f t="shared" ca="1" si="32"/>
        <v>#VALUE!</v>
      </c>
      <c r="AL110" s="185" t="e">
        <f t="shared" ca="1" si="32"/>
        <v>#VALUE!</v>
      </c>
      <c r="AM110" s="185" t="e">
        <f t="shared" ca="1" si="32"/>
        <v>#VALUE!</v>
      </c>
      <c r="AN110" s="185" t="e">
        <f t="shared" ca="1" si="32"/>
        <v>#VALUE!</v>
      </c>
      <c r="AO110" s="185" t="e">
        <f t="shared" ca="1" si="32"/>
        <v>#VALUE!</v>
      </c>
      <c r="AP110" s="185" t="e">
        <f t="shared" ca="1" si="34"/>
        <v>#VALUE!</v>
      </c>
    </row>
    <row r="111" spans="1:42">
      <c r="A111" s="57" t="str">
        <f>'[4]TS BYDem'!A50</f>
        <v>*</v>
      </c>
      <c r="B111" s="185" t="s">
        <v>288</v>
      </c>
      <c r="C111" s="185" t="s">
        <v>137</v>
      </c>
      <c r="D111" s="185">
        <f>'[4]TS BYDem'!D50</f>
        <v>0</v>
      </c>
      <c r="E111" s="185" t="s">
        <v>137</v>
      </c>
      <c r="F111" s="185" t="s">
        <v>137</v>
      </c>
      <c r="G111" s="185" t="s">
        <v>137</v>
      </c>
      <c r="H111" s="185" t="s">
        <v>137</v>
      </c>
      <c r="I111" s="185">
        <v>0</v>
      </c>
      <c r="J111" s="185" t="str">
        <f>INDEX('[4]TS BYDem'!$J$10:$J$203,MATCH(D111,'[4]TS BYDem'!$D$10:$D$203,0))</f>
        <v/>
      </c>
      <c r="K111" s="185" t="e">
        <f t="shared" ca="1" si="33"/>
        <v>#VALUE!</v>
      </c>
      <c r="L111" s="185" t="e">
        <f t="shared" ca="1" si="33"/>
        <v>#VALUE!</v>
      </c>
      <c r="M111" s="185" t="e">
        <f t="shared" ca="1" si="33"/>
        <v>#VALUE!</v>
      </c>
      <c r="N111" s="185" t="e">
        <f t="shared" ca="1" si="33"/>
        <v>#VALUE!</v>
      </c>
      <c r="O111" s="185" t="e">
        <f t="shared" ca="1" si="33"/>
        <v>#VALUE!</v>
      </c>
      <c r="P111" s="185" t="e">
        <f t="shared" ca="1" si="33"/>
        <v>#VALUE!</v>
      </c>
      <c r="Q111" s="185" t="e">
        <f t="shared" ca="1" si="33"/>
        <v>#VALUE!</v>
      </c>
      <c r="R111" s="185" t="e">
        <f t="shared" ca="1" si="33"/>
        <v>#VALUE!</v>
      </c>
      <c r="S111" s="185" t="e">
        <f t="shared" ca="1" si="33"/>
        <v>#VALUE!</v>
      </c>
      <c r="T111" s="185" t="e">
        <f t="shared" ca="1" si="33"/>
        <v>#VALUE!</v>
      </c>
      <c r="U111" s="185" t="e">
        <f t="shared" ca="1" si="33"/>
        <v>#VALUE!</v>
      </c>
      <c r="V111" s="185" t="e">
        <f t="shared" ca="1" si="33"/>
        <v>#VALUE!</v>
      </c>
      <c r="W111" s="185" t="e">
        <f t="shared" ca="1" si="33"/>
        <v>#VALUE!</v>
      </c>
      <c r="X111" s="185" t="e">
        <f t="shared" ca="1" si="33"/>
        <v>#VALUE!</v>
      </c>
      <c r="Y111" s="185" t="e">
        <f t="shared" ca="1" si="33"/>
        <v>#VALUE!</v>
      </c>
      <c r="Z111" s="185" t="e">
        <f t="shared" ca="1" si="32"/>
        <v>#VALUE!</v>
      </c>
      <c r="AA111" s="185" t="e">
        <f t="shared" ca="1" si="32"/>
        <v>#VALUE!</v>
      </c>
      <c r="AB111" s="185" t="e">
        <f t="shared" ca="1" si="32"/>
        <v>#VALUE!</v>
      </c>
      <c r="AC111" s="185" t="e">
        <f t="shared" ca="1" si="32"/>
        <v>#VALUE!</v>
      </c>
      <c r="AD111" s="185" t="e">
        <f t="shared" ca="1" si="32"/>
        <v>#VALUE!</v>
      </c>
      <c r="AE111" s="185" t="e">
        <f t="shared" ca="1" si="32"/>
        <v>#VALUE!</v>
      </c>
      <c r="AF111" s="185" t="e">
        <f t="shared" ca="1" si="32"/>
        <v>#VALUE!</v>
      </c>
      <c r="AG111" s="185" t="e">
        <f t="shared" ca="1" si="32"/>
        <v>#VALUE!</v>
      </c>
      <c r="AH111" s="185" t="e">
        <f t="shared" ca="1" si="32"/>
        <v>#VALUE!</v>
      </c>
      <c r="AI111" s="185" t="e">
        <f t="shared" ca="1" si="32"/>
        <v>#VALUE!</v>
      </c>
      <c r="AJ111" s="185" t="e">
        <f t="shared" ca="1" si="32"/>
        <v>#VALUE!</v>
      </c>
      <c r="AK111" s="185" t="e">
        <f t="shared" ca="1" si="32"/>
        <v>#VALUE!</v>
      </c>
      <c r="AL111" s="185" t="e">
        <f t="shared" ca="1" si="32"/>
        <v>#VALUE!</v>
      </c>
      <c r="AM111" s="185" t="e">
        <f t="shared" ca="1" si="32"/>
        <v>#VALUE!</v>
      </c>
      <c r="AN111" s="185" t="e">
        <f t="shared" ca="1" si="32"/>
        <v>#VALUE!</v>
      </c>
      <c r="AO111" s="185" t="e">
        <f t="shared" ca="1" si="32"/>
        <v>#VALUE!</v>
      </c>
      <c r="AP111" s="185" t="e">
        <f t="shared" ca="1" si="34"/>
        <v>#VALUE!</v>
      </c>
    </row>
    <row r="112" spans="1:42" s="5" customFormat="1">
      <c r="A112" s="57" t="str">
        <f>'[4]TS BYDem'!A51</f>
        <v>*</v>
      </c>
      <c r="B112" s="5">
        <f>B91+1</f>
        <v>3</v>
      </c>
      <c r="C112" s="3" t="str">
        <f ca="1">OFFSET($C$9,$B112,0)</f>
        <v>Iron &amp; Steel</v>
      </c>
      <c r="D112" s="3" t="str">
        <f ca="1">OFFSET($B$9,$B112,0)</f>
        <v>IS</v>
      </c>
      <c r="J112" s="5">
        <f ca="1">SUMIF($B$10:$B$22,$D112,J$10:J$22)*SUMIF($B$10:$B$22,$D112,J$41:J$53)</f>
        <v>13.35</v>
      </c>
      <c r="K112" s="5">
        <f t="shared" ref="K112:AP112" ca="1" si="35">SUMIF($B$10:$B$22,$D112,K$10:K$22)*SUMIF($B$10:$B$22,$D112,K$41:K$53)</f>
        <v>13.74</v>
      </c>
      <c r="L112" s="5">
        <f t="shared" ca="1" si="35"/>
        <v>13.91</v>
      </c>
      <c r="M112" s="5">
        <f t="shared" ca="1" si="35"/>
        <v>14.13</v>
      </c>
      <c r="N112" s="5">
        <f t="shared" ca="1" si="35"/>
        <v>14.15</v>
      </c>
      <c r="O112" s="5">
        <f t="shared" ca="1" si="35"/>
        <v>14.18</v>
      </c>
      <c r="P112" s="5">
        <f t="shared" ca="1" si="35"/>
        <v>14.21</v>
      </c>
      <c r="Q112" s="5">
        <f t="shared" ca="1" si="35"/>
        <v>14.08</v>
      </c>
      <c r="R112" s="5">
        <f t="shared" ca="1" si="35"/>
        <v>12.26</v>
      </c>
      <c r="S112" s="5">
        <f t="shared" ca="1" si="35"/>
        <v>12.65</v>
      </c>
      <c r="T112" s="5">
        <f t="shared" ca="1" si="35"/>
        <v>12.9</v>
      </c>
      <c r="U112" s="5">
        <f t="shared" ca="1" si="35"/>
        <v>13.13</v>
      </c>
      <c r="V112" s="5">
        <f t="shared" ca="1" si="35"/>
        <v>13.34</v>
      </c>
      <c r="W112" s="5">
        <f t="shared" ca="1" si="35"/>
        <v>13.63</v>
      </c>
      <c r="X112" s="5">
        <f t="shared" ca="1" si="35"/>
        <v>14.12</v>
      </c>
      <c r="Y112" s="5">
        <f t="shared" ca="1" si="35"/>
        <v>14.6</v>
      </c>
      <c r="Z112" s="5">
        <f t="shared" ca="1" si="35"/>
        <v>15.08</v>
      </c>
      <c r="AA112" s="5">
        <f t="shared" ca="1" si="35"/>
        <v>15.43</v>
      </c>
      <c r="AB112" s="5">
        <f t="shared" ca="1" si="35"/>
        <v>15.88</v>
      </c>
      <c r="AC112" s="5">
        <f t="shared" ca="1" si="35"/>
        <v>16.239999999999998</v>
      </c>
      <c r="AD112" s="5">
        <f t="shared" ca="1" si="35"/>
        <v>16.559999999999999</v>
      </c>
      <c r="AE112" s="5">
        <f t="shared" ca="1" si="35"/>
        <v>16.93</v>
      </c>
      <c r="AF112" s="5">
        <f t="shared" ca="1" si="35"/>
        <v>17.34</v>
      </c>
      <c r="AG112" s="5">
        <f t="shared" ca="1" si="35"/>
        <v>17.73</v>
      </c>
      <c r="AH112" s="5">
        <f t="shared" ca="1" si="35"/>
        <v>18.190000000000001</v>
      </c>
      <c r="AI112" s="5">
        <f t="shared" ca="1" si="35"/>
        <v>18.670000000000002</v>
      </c>
      <c r="AJ112" s="5">
        <f t="shared" ca="1" si="35"/>
        <v>19.14</v>
      </c>
      <c r="AK112" s="5">
        <f t="shared" ca="1" si="35"/>
        <v>19.63</v>
      </c>
      <c r="AL112" s="5">
        <f t="shared" ca="1" si="35"/>
        <v>20.14</v>
      </c>
      <c r="AM112" s="5">
        <f t="shared" ca="1" si="35"/>
        <v>22.59</v>
      </c>
      <c r="AN112" s="5">
        <f t="shared" ca="1" si="35"/>
        <v>25.89</v>
      </c>
      <c r="AO112" s="5">
        <f t="shared" ca="1" si="35"/>
        <v>31.498333333333449</v>
      </c>
      <c r="AP112" s="5">
        <f t="shared" ca="1" si="35"/>
        <v>37.248333333333449</v>
      </c>
    </row>
    <row r="113" spans="1:42">
      <c r="A113" s="57" t="str">
        <f>'[4]TS BYDem'!A52</f>
        <v>*</v>
      </c>
      <c r="B113" s="185" t="s">
        <v>288</v>
      </c>
      <c r="C113" s="185" t="s">
        <v>137</v>
      </c>
      <c r="D113" s="185" t="str">
        <f>'[4]TS BYDem'!D52</f>
        <v>IISK</v>
      </c>
      <c r="E113" s="185" t="s">
        <v>137</v>
      </c>
      <c r="F113" s="185" t="s">
        <v>137</v>
      </c>
      <c r="G113" s="185" t="s">
        <v>137</v>
      </c>
      <c r="H113" s="185" t="s">
        <v>137</v>
      </c>
      <c r="I113" s="185">
        <v>0</v>
      </c>
      <c r="J113" s="185" t="str">
        <f>INDEX('[4]TS BYDem'!$J$10:$J$203,MATCH(D113,'[4]TS BYDem'!$D$10:$D$203,0))</f>
        <v/>
      </c>
      <c r="K113" s="185" t="e">
        <f t="shared" ref="K113:Z128" ca="1" si="36">K$112/J$112*J113</f>
        <v>#VALUE!</v>
      </c>
      <c r="L113" s="185" t="e">
        <f t="shared" ca="1" si="36"/>
        <v>#VALUE!</v>
      </c>
      <c r="M113" s="185" t="e">
        <f t="shared" ca="1" si="36"/>
        <v>#VALUE!</v>
      </c>
      <c r="N113" s="185" t="e">
        <f t="shared" ca="1" si="36"/>
        <v>#VALUE!</v>
      </c>
      <c r="O113" s="185" t="e">
        <f t="shared" ca="1" si="36"/>
        <v>#VALUE!</v>
      </c>
      <c r="P113" s="185" t="e">
        <f t="shared" ca="1" si="36"/>
        <v>#VALUE!</v>
      </c>
      <c r="Q113" s="185" t="e">
        <f t="shared" ca="1" si="36"/>
        <v>#VALUE!</v>
      </c>
      <c r="R113" s="185" t="e">
        <f t="shared" ca="1" si="36"/>
        <v>#VALUE!</v>
      </c>
      <c r="S113" s="185" t="e">
        <f t="shared" ca="1" si="36"/>
        <v>#VALUE!</v>
      </c>
      <c r="T113" s="185" t="e">
        <f t="shared" ca="1" si="36"/>
        <v>#VALUE!</v>
      </c>
      <c r="U113" s="185" t="e">
        <f t="shared" ca="1" si="36"/>
        <v>#VALUE!</v>
      </c>
      <c r="V113" s="185" t="e">
        <f t="shared" ca="1" si="36"/>
        <v>#VALUE!</v>
      </c>
      <c r="W113" s="185" t="e">
        <f t="shared" ca="1" si="36"/>
        <v>#VALUE!</v>
      </c>
      <c r="X113" s="185" t="e">
        <f t="shared" ca="1" si="36"/>
        <v>#VALUE!</v>
      </c>
      <c r="Y113" s="185" t="e">
        <f t="shared" ca="1" si="36"/>
        <v>#VALUE!</v>
      </c>
      <c r="Z113" s="185" t="e">
        <f t="shared" ca="1" si="36"/>
        <v>#VALUE!</v>
      </c>
      <c r="AA113" s="185" t="e">
        <f t="shared" ref="AA113:AP128" ca="1" si="37">AA$112/Z$112*Z113</f>
        <v>#VALUE!</v>
      </c>
      <c r="AB113" s="185" t="e">
        <f t="shared" ca="1" si="37"/>
        <v>#VALUE!</v>
      </c>
      <c r="AC113" s="185" t="e">
        <f t="shared" ca="1" si="37"/>
        <v>#VALUE!</v>
      </c>
      <c r="AD113" s="185" t="e">
        <f t="shared" ca="1" si="37"/>
        <v>#VALUE!</v>
      </c>
      <c r="AE113" s="185" t="e">
        <f t="shared" ca="1" si="37"/>
        <v>#VALUE!</v>
      </c>
      <c r="AF113" s="185" t="e">
        <f t="shared" ca="1" si="37"/>
        <v>#VALUE!</v>
      </c>
      <c r="AG113" s="185" t="e">
        <f t="shared" ca="1" si="37"/>
        <v>#VALUE!</v>
      </c>
      <c r="AH113" s="185" t="e">
        <f t="shared" ca="1" si="37"/>
        <v>#VALUE!</v>
      </c>
      <c r="AI113" s="185" t="e">
        <f t="shared" ca="1" si="37"/>
        <v>#VALUE!</v>
      </c>
      <c r="AJ113" s="185" t="e">
        <f t="shared" ca="1" si="37"/>
        <v>#VALUE!</v>
      </c>
      <c r="AK113" s="185" t="e">
        <f t="shared" ca="1" si="37"/>
        <v>#VALUE!</v>
      </c>
      <c r="AL113" s="185" t="e">
        <f t="shared" ca="1" si="37"/>
        <v>#VALUE!</v>
      </c>
      <c r="AM113" s="185" t="e">
        <f t="shared" ca="1" si="37"/>
        <v>#VALUE!</v>
      </c>
      <c r="AN113" s="185" t="e">
        <f t="shared" ca="1" si="37"/>
        <v>#VALUE!</v>
      </c>
      <c r="AO113" s="185" t="e">
        <f t="shared" ca="1" si="37"/>
        <v>#VALUE!</v>
      </c>
      <c r="AP113" s="185" t="e">
        <f t="shared" ca="1" si="37"/>
        <v>#VALUE!</v>
      </c>
    </row>
    <row r="114" spans="1:42">
      <c r="A114" s="57" t="str">
        <f>'[4]TS BYDem'!A53</f>
        <v>*</v>
      </c>
      <c r="B114" s="185" t="s">
        <v>288</v>
      </c>
      <c r="C114" s="185" t="s">
        <v>137</v>
      </c>
      <c r="D114" s="185" t="str">
        <f>'[4]TS BYDem'!D53</f>
        <v>IISA</v>
      </c>
      <c r="E114" s="185" t="s">
        <v>137</v>
      </c>
      <c r="F114" s="185" t="s">
        <v>137</v>
      </c>
      <c r="G114" s="185" t="s">
        <v>137</v>
      </c>
      <c r="H114" s="185" t="s">
        <v>137</v>
      </c>
      <c r="I114" s="185">
        <v>0</v>
      </c>
      <c r="J114" s="185" t="str">
        <f>INDEX('[4]TS BYDem'!$J$10:$J$203,MATCH(D114,'[4]TS BYDem'!$D$10:$D$203,0))</f>
        <v/>
      </c>
      <c r="K114" s="185" t="e">
        <f t="shared" ca="1" si="36"/>
        <v>#VALUE!</v>
      </c>
      <c r="L114" s="185" t="e">
        <f t="shared" ca="1" si="36"/>
        <v>#VALUE!</v>
      </c>
      <c r="M114" s="185" t="e">
        <f t="shared" ca="1" si="36"/>
        <v>#VALUE!</v>
      </c>
      <c r="N114" s="185" t="e">
        <f t="shared" ca="1" si="36"/>
        <v>#VALUE!</v>
      </c>
      <c r="O114" s="185" t="e">
        <f t="shared" ca="1" si="36"/>
        <v>#VALUE!</v>
      </c>
      <c r="P114" s="185" t="e">
        <f t="shared" ca="1" si="36"/>
        <v>#VALUE!</v>
      </c>
      <c r="Q114" s="185" t="e">
        <f t="shared" ca="1" si="36"/>
        <v>#VALUE!</v>
      </c>
      <c r="R114" s="185" t="e">
        <f t="shared" ca="1" si="36"/>
        <v>#VALUE!</v>
      </c>
      <c r="S114" s="185" t="e">
        <f t="shared" ca="1" si="36"/>
        <v>#VALUE!</v>
      </c>
      <c r="T114" s="185" t="e">
        <f t="shared" ca="1" si="36"/>
        <v>#VALUE!</v>
      </c>
      <c r="U114" s="185" t="e">
        <f t="shared" ca="1" si="36"/>
        <v>#VALUE!</v>
      </c>
      <c r="V114" s="185" t="e">
        <f t="shared" ca="1" si="36"/>
        <v>#VALUE!</v>
      </c>
      <c r="W114" s="185" t="e">
        <f t="shared" ca="1" si="36"/>
        <v>#VALUE!</v>
      </c>
      <c r="X114" s="185" t="e">
        <f t="shared" ca="1" si="36"/>
        <v>#VALUE!</v>
      </c>
      <c r="Y114" s="185" t="e">
        <f t="shared" ca="1" si="36"/>
        <v>#VALUE!</v>
      </c>
      <c r="Z114" s="185" t="e">
        <f t="shared" ca="1" si="36"/>
        <v>#VALUE!</v>
      </c>
      <c r="AA114" s="185" t="e">
        <f t="shared" ca="1" si="37"/>
        <v>#VALUE!</v>
      </c>
      <c r="AB114" s="185" t="e">
        <f t="shared" ca="1" si="37"/>
        <v>#VALUE!</v>
      </c>
      <c r="AC114" s="185" t="e">
        <f t="shared" ca="1" si="37"/>
        <v>#VALUE!</v>
      </c>
      <c r="AD114" s="185" t="e">
        <f t="shared" ca="1" si="37"/>
        <v>#VALUE!</v>
      </c>
      <c r="AE114" s="185" t="e">
        <f t="shared" ca="1" si="37"/>
        <v>#VALUE!</v>
      </c>
      <c r="AF114" s="185" t="e">
        <f t="shared" ca="1" si="37"/>
        <v>#VALUE!</v>
      </c>
      <c r="AG114" s="185" t="e">
        <f t="shared" ca="1" si="37"/>
        <v>#VALUE!</v>
      </c>
      <c r="AH114" s="185" t="e">
        <f t="shared" ca="1" si="37"/>
        <v>#VALUE!</v>
      </c>
      <c r="AI114" s="185" t="e">
        <f t="shared" ca="1" si="37"/>
        <v>#VALUE!</v>
      </c>
      <c r="AJ114" s="185" t="e">
        <f t="shared" ca="1" si="37"/>
        <v>#VALUE!</v>
      </c>
      <c r="AK114" s="185" t="e">
        <f t="shared" ca="1" si="37"/>
        <v>#VALUE!</v>
      </c>
      <c r="AL114" s="185" t="e">
        <f t="shared" ca="1" si="37"/>
        <v>#VALUE!</v>
      </c>
      <c r="AM114" s="185" t="e">
        <f t="shared" ca="1" si="37"/>
        <v>#VALUE!</v>
      </c>
      <c r="AN114" s="185" t="e">
        <f t="shared" ca="1" si="37"/>
        <v>#VALUE!</v>
      </c>
      <c r="AO114" s="185" t="e">
        <f t="shared" ca="1" si="37"/>
        <v>#VALUE!</v>
      </c>
      <c r="AP114" s="185" t="e">
        <f t="shared" ca="1" si="37"/>
        <v>#VALUE!</v>
      </c>
    </row>
    <row r="115" spans="1:42">
      <c r="A115" s="57" t="str">
        <f>'[4]TS BYDem'!A54</f>
        <v>*</v>
      </c>
      <c r="B115" s="185" t="s">
        <v>288</v>
      </c>
      <c r="C115" s="185" t="s">
        <v>137</v>
      </c>
      <c r="D115" s="185" t="str">
        <f>'[4]TS BYDem'!D54</f>
        <v>IISL</v>
      </c>
      <c r="E115" s="185" t="s">
        <v>137</v>
      </c>
      <c r="F115" s="185" t="s">
        <v>137</v>
      </c>
      <c r="G115" s="185" t="s">
        <v>137</v>
      </c>
      <c r="H115" s="185" t="s">
        <v>137</v>
      </c>
      <c r="I115" s="185">
        <v>0</v>
      </c>
      <c r="J115" s="185" t="str">
        <f>INDEX('[4]TS BYDem'!$J$10:$J$203,MATCH(D115,'[4]TS BYDem'!$D$10:$D$203,0))</f>
        <v/>
      </c>
      <c r="K115" s="185" t="e">
        <f t="shared" ca="1" si="36"/>
        <v>#VALUE!</v>
      </c>
      <c r="L115" s="185" t="e">
        <f t="shared" ca="1" si="36"/>
        <v>#VALUE!</v>
      </c>
      <c r="M115" s="185" t="e">
        <f t="shared" ca="1" si="36"/>
        <v>#VALUE!</v>
      </c>
      <c r="N115" s="185" t="e">
        <f t="shared" ca="1" si="36"/>
        <v>#VALUE!</v>
      </c>
      <c r="O115" s="185" t="e">
        <f t="shared" ca="1" si="36"/>
        <v>#VALUE!</v>
      </c>
      <c r="P115" s="185" t="e">
        <f t="shared" ca="1" si="36"/>
        <v>#VALUE!</v>
      </c>
      <c r="Q115" s="185" t="e">
        <f t="shared" ca="1" si="36"/>
        <v>#VALUE!</v>
      </c>
      <c r="R115" s="185" t="e">
        <f t="shared" ca="1" si="36"/>
        <v>#VALUE!</v>
      </c>
      <c r="S115" s="185" t="e">
        <f t="shared" ca="1" si="36"/>
        <v>#VALUE!</v>
      </c>
      <c r="T115" s="185" t="e">
        <f t="shared" ca="1" si="36"/>
        <v>#VALUE!</v>
      </c>
      <c r="U115" s="185" t="e">
        <f t="shared" ca="1" si="36"/>
        <v>#VALUE!</v>
      </c>
      <c r="V115" s="185" t="e">
        <f t="shared" ca="1" si="36"/>
        <v>#VALUE!</v>
      </c>
      <c r="W115" s="185" t="e">
        <f t="shared" ca="1" si="36"/>
        <v>#VALUE!</v>
      </c>
      <c r="X115" s="185" t="e">
        <f t="shared" ca="1" si="36"/>
        <v>#VALUE!</v>
      </c>
      <c r="Y115" s="185" t="e">
        <f t="shared" ca="1" si="36"/>
        <v>#VALUE!</v>
      </c>
      <c r="Z115" s="185" t="e">
        <f t="shared" ca="1" si="36"/>
        <v>#VALUE!</v>
      </c>
      <c r="AA115" s="185" t="e">
        <f t="shared" ca="1" si="37"/>
        <v>#VALUE!</v>
      </c>
      <c r="AB115" s="185" t="e">
        <f t="shared" ca="1" si="37"/>
        <v>#VALUE!</v>
      </c>
      <c r="AC115" s="185" t="e">
        <f t="shared" ca="1" si="37"/>
        <v>#VALUE!</v>
      </c>
      <c r="AD115" s="185" t="e">
        <f t="shared" ca="1" si="37"/>
        <v>#VALUE!</v>
      </c>
      <c r="AE115" s="185" t="e">
        <f t="shared" ca="1" si="37"/>
        <v>#VALUE!</v>
      </c>
      <c r="AF115" s="185" t="e">
        <f t="shared" ca="1" si="37"/>
        <v>#VALUE!</v>
      </c>
      <c r="AG115" s="185" t="e">
        <f t="shared" ca="1" si="37"/>
        <v>#VALUE!</v>
      </c>
      <c r="AH115" s="185" t="e">
        <f t="shared" ca="1" si="37"/>
        <v>#VALUE!</v>
      </c>
      <c r="AI115" s="185" t="e">
        <f t="shared" ca="1" si="37"/>
        <v>#VALUE!</v>
      </c>
      <c r="AJ115" s="185" t="e">
        <f t="shared" ca="1" si="37"/>
        <v>#VALUE!</v>
      </c>
      <c r="AK115" s="185" t="e">
        <f t="shared" ca="1" si="37"/>
        <v>#VALUE!</v>
      </c>
      <c r="AL115" s="185" t="e">
        <f t="shared" ca="1" si="37"/>
        <v>#VALUE!</v>
      </c>
      <c r="AM115" s="185" t="e">
        <f t="shared" ca="1" si="37"/>
        <v>#VALUE!</v>
      </c>
      <c r="AN115" s="185" t="e">
        <f t="shared" ca="1" si="37"/>
        <v>#VALUE!</v>
      </c>
      <c r="AO115" s="185" t="e">
        <f t="shared" ca="1" si="37"/>
        <v>#VALUE!</v>
      </c>
      <c r="AP115" s="185" t="e">
        <f t="shared" ca="1" si="37"/>
        <v>#VALUE!</v>
      </c>
    </row>
    <row r="116" spans="1:42">
      <c r="A116" s="57" t="str">
        <f>'[4]TS BYDem'!A55</f>
        <v>*</v>
      </c>
      <c r="B116" s="185" t="s">
        <v>288</v>
      </c>
      <c r="C116" s="185" t="s">
        <v>137</v>
      </c>
      <c r="D116" s="185" t="str">
        <f>'[4]TS BYDem'!D55</f>
        <v>IISC</v>
      </c>
      <c r="E116" s="185" t="s">
        <v>137</v>
      </c>
      <c r="F116" s="185" t="s">
        <v>137</v>
      </c>
      <c r="G116" s="185" t="s">
        <v>137</v>
      </c>
      <c r="H116" s="185" t="s">
        <v>137</v>
      </c>
      <c r="I116" s="185">
        <v>0</v>
      </c>
      <c r="J116" s="185" t="str">
        <f>INDEX('[4]TS BYDem'!$J$10:$J$203,MATCH(D116,'[4]TS BYDem'!$D$10:$D$203,0))</f>
        <v/>
      </c>
      <c r="K116" s="185" t="e">
        <f t="shared" ca="1" si="36"/>
        <v>#VALUE!</v>
      </c>
      <c r="L116" s="185" t="e">
        <f t="shared" ca="1" si="36"/>
        <v>#VALUE!</v>
      </c>
      <c r="M116" s="185" t="e">
        <f t="shared" ca="1" si="36"/>
        <v>#VALUE!</v>
      </c>
      <c r="N116" s="185" t="e">
        <f t="shared" ca="1" si="36"/>
        <v>#VALUE!</v>
      </c>
      <c r="O116" s="185" t="e">
        <f t="shared" ca="1" si="36"/>
        <v>#VALUE!</v>
      </c>
      <c r="P116" s="185" t="e">
        <f t="shared" ca="1" si="36"/>
        <v>#VALUE!</v>
      </c>
      <c r="Q116" s="185" t="e">
        <f t="shared" ca="1" si="36"/>
        <v>#VALUE!</v>
      </c>
      <c r="R116" s="185" t="e">
        <f t="shared" ca="1" si="36"/>
        <v>#VALUE!</v>
      </c>
      <c r="S116" s="185" t="e">
        <f t="shared" ca="1" si="36"/>
        <v>#VALUE!</v>
      </c>
      <c r="T116" s="185" t="e">
        <f t="shared" ca="1" si="36"/>
        <v>#VALUE!</v>
      </c>
      <c r="U116" s="185" t="e">
        <f t="shared" ca="1" si="36"/>
        <v>#VALUE!</v>
      </c>
      <c r="V116" s="185" t="e">
        <f t="shared" ca="1" si="36"/>
        <v>#VALUE!</v>
      </c>
      <c r="W116" s="185" t="e">
        <f t="shared" ca="1" si="36"/>
        <v>#VALUE!</v>
      </c>
      <c r="X116" s="185" t="e">
        <f t="shared" ca="1" si="36"/>
        <v>#VALUE!</v>
      </c>
      <c r="Y116" s="185" t="e">
        <f t="shared" ca="1" si="36"/>
        <v>#VALUE!</v>
      </c>
      <c r="Z116" s="185" t="e">
        <f t="shared" ca="1" si="36"/>
        <v>#VALUE!</v>
      </c>
      <c r="AA116" s="185" t="e">
        <f t="shared" ca="1" si="37"/>
        <v>#VALUE!</v>
      </c>
      <c r="AB116" s="185" t="e">
        <f t="shared" ca="1" si="37"/>
        <v>#VALUE!</v>
      </c>
      <c r="AC116" s="185" t="e">
        <f t="shared" ca="1" si="37"/>
        <v>#VALUE!</v>
      </c>
      <c r="AD116" s="185" t="e">
        <f t="shared" ca="1" si="37"/>
        <v>#VALUE!</v>
      </c>
      <c r="AE116" s="185" t="e">
        <f t="shared" ca="1" si="37"/>
        <v>#VALUE!</v>
      </c>
      <c r="AF116" s="185" t="e">
        <f t="shared" ca="1" si="37"/>
        <v>#VALUE!</v>
      </c>
      <c r="AG116" s="185" t="e">
        <f t="shared" ca="1" si="37"/>
        <v>#VALUE!</v>
      </c>
      <c r="AH116" s="185" t="e">
        <f t="shared" ca="1" si="37"/>
        <v>#VALUE!</v>
      </c>
      <c r="AI116" s="185" t="e">
        <f t="shared" ca="1" si="37"/>
        <v>#VALUE!</v>
      </c>
      <c r="AJ116" s="185" t="e">
        <f t="shared" ca="1" si="37"/>
        <v>#VALUE!</v>
      </c>
      <c r="AK116" s="185" t="e">
        <f t="shared" ca="1" si="37"/>
        <v>#VALUE!</v>
      </c>
      <c r="AL116" s="185" t="e">
        <f t="shared" ca="1" si="37"/>
        <v>#VALUE!</v>
      </c>
      <c r="AM116" s="185" t="e">
        <f t="shared" ca="1" si="37"/>
        <v>#VALUE!</v>
      </c>
      <c r="AN116" s="185" t="e">
        <f t="shared" ca="1" si="37"/>
        <v>#VALUE!</v>
      </c>
      <c r="AO116" s="185" t="e">
        <f t="shared" ca="1" si="37"/>
        <v>#VALUE!</v>
      </c>
      <c r="AP116" s="185" t="e">
        <f t="shared" ca="1" si="37"/>
        <v>#VALUE!</v>
      </c>
    </row>
    <row r="117" spans="1:42">
      <c r="A117" s="57" t="str">
        <f>'[4]TS BYDem'!A56</f>
        <v>*</v>
      </c>
      <c r="B117" s="185" t="s">
        <v>288</v>
      </c>
      <c r="C117" s="185" t="s">
        <v>137</v>
      </c>
      <c r="D117" s="185" t="str">
        <f>'[4]TS BYDem'!D56</f>
        <v>IISH</v>
      </c>
      <c r="E117" s="185" t="s">
        <v>137</v>
      </c>
      <c r="F117" s="185" t="s">
        <v>137</v>
      </c>
      <c r="G117" s="185" t="s">
        <v>137</v>
      </c>
      <c r="H117" s="185" t="s">
        <v>137</v>
      </c>
      <c r="I117" s="185">
        <v>0</v>
      </c>
      <c r="J117" s="185" t="str">
        <f>INDEX('[4]TS BYDem'!$J$10:$J$203,MATCH(D117,'[4]TS BYDem'!$D$10:$D$203,0))</f>
        <v/>
      </c>
      <c r="K117" s="185" t="e">
        <f t="shared" ca="1" si="36"/>
        <v>#VALUE!</v>
      </c>
      <c r="L117" s="185" t="e">
        <f t="shared" ca="1" si="36"/>
        <v>#VALUE!</v>
      </c>
      <c r="M117" s="185" t="e">
        <f t="shared" ca="1" si="36"/>
        <v>#VALUE!</v>
      </c>
      <c r="N117" s="185" t="e">
        <f t="shared" ca="1" si="36"/>
        <v>#VALUE!</v>
      </c>
      <c r="O117" s="185" t="e">
        <f t="shared" ca="1" si="36"/>
        <v>#VALUE!</v>
      </c>
      <c r="P117" s="185" t="e">
        <f t="shared" ca="1" si="36"/>
        <v>#VALUE!</v>
      </c>
      <c r="Q117" s="185" t="e">
        <f t="shared" ca="1" si="36"/>
        <v>#VALUE!</v>
      </c>
      <c r="R117" s="185" t="e">
        <f t="shared" ca="1" si="36"/>
        <v>#VALUE!</v>
      </c>
      <c r="S117" s="185" t="e">
        <f t="shared" ca="1" si="36"/>
        <v>#VALUE!</v>
      </c>
      <c r="T117" s="185" t="e">
        <f t="shared" ca="1" si="36"/>
        <v>#VALUE!</v>
      </c>
      <c r="U117" s="185" t="e">
        <f t="shared" ca="1" si="36"/>
        <v>#VALUE!</v>
      </c>
      <c r="V117" s="185" t="e">
        <f t="shared" ca="1" si="36"/>
        <v>#VALUE!</v>
      </c>
      <c r="W117" s="185" t="e">
        <f t="shared" ca="1" si="36"/>
        <v>#VALUE!</v>
      </c>
      <c r="X117" s="185" t="e">
        <f t="shared" ca="1" si="36"/>
        <v>#VALUE!</v>
      </c>
      <c r="Y117" s="185" t="e">
        <f t="shared" ca="1" si="36"/>
        <v>#VALUE!</v>
      </c>
      <c r="Z117" s="185" t="e">
        <f t="shared" ca="1" si="36"/>
        <v>#VALUE!</v>
      </c>
      <c r="AA117" s="185" t="e">
        <f t="shared" ca="1" si="37"/>
        <v>#VALUE!</v>
      </c>
      <c r="AB117" s="185" t="e">
        <f t="shared" ca="1" si="37"/>
        <v>#VALUE!</v>
      </c>
      <c r="AC117" s="185" t="e">
        <f t="shared" ca="1" si="37"/>
        <v>#VALUE!</v>
      </c>
      <c r="AD117" s="185" t="e">
        <f t="shared" ca="1" si="37"/>
        <v>#VALUE!</v>
      </c>
      <c r="AE117" s="185" t="e">
        <f t="shared" ca="1" si="37"/>
        <v>#VALUE!</v>
      </c>
      <c r="AF117" s="185" t="e">
        <f t="shared" ca="1" si="37"/>
        <v>#VALUE!</v>
      </c>
      <c r="AG117" s="185" t="e">
        <f t="shared" ca="1" si="37"/>
        <v>#VALUE!</v>
      </c>
      <c r="AH117" s="185" t="e">
        <f t="shared" ca="1" si="37"/>
        <v>#VALUE!</v>
      </c>
      <c r="AI117" s="185" t="e">
        <f t="shared" ca="1" si="37"/>
        <v>#VALUE!</v>
      </c>
      <c r="AJ117" s="185" t="e">
        <f t="shared" ca="1" si="37"/>
        <v>#VALUE!</v>
      </c>
      <c r="AK117" s="185" t="e">
        <f t="shared" ca="1" si="37"/>
        <v>#VALUE!</v>
      </c>
      <c r="AL117" s="185" t="e">
        <f t="shared" ca="1" si="37"/>
        <v>#VALUE!</v>
      </c>
      <c r="AM117" s="185" t="e">
        <f t="shared" ca="1" si="37"/>
        <v>#VALUE!</v>
      </c>
      <c r="AN117" s="185" t="e">
        <f t="shared" ca="1" si="37"/>
        <v>#VALUE!</v>
      </c>
      <c r="AO117" s="185" t="e">
        <f t="shared" ca="1" si="37"/>
        <v>#VALUE!</v>
      </c>
      <c r="AP117" s="185" t="e">
        <f t="shared" ca="1" si="37"/>
        <v>#VALUE!</v>
      </c>
    </row>
    <row r="118" spans="1:42">
      <c r="A118" s="57" t="str">
        <f>'[4]TS BYDem'!A57</f>
        <v>*</v>
      </c>
      <c r="B118" s="185" t="s">
        <v>288</v>
      </c>
      <c r="C118" s="185" t="s">
        <v>137</v>
      </c>
      <c r="D118" s="185" t="str">
        <f>'[4]TS BYDem'!D57</f>
        <v>IISP</v>
      </c>
      <c r="E118" s="185" t="s">
        <v>137</v>
      </c>
      <c r="F118" s="185" t="s">
        <v>137</v>
      </c>
      <c r="G118" s="185" t="s">
        <v>137</v>
      </c>
      <c r="H118" s="185" t="s">
        <v>137</v>
      </c>
      <c r="I118" s="185">
        <v>0</v>
      </c>
      <c r="J118" s="185" t="str">
        <f>INDEX('[4]TS BYDem'!$J$10:$J$203,MATCH(D118,'[4]TS BYDem'!$D$10:$D$203,0))</f>
        <v/>
      </c>
      <c r="K118" s="185" t="e">
        <f t="shared" ca="1" si="36"/>
        <v>#VALUE!</v>
      </c>
      <c r="L118" s="185" t="e">
        <f t="shared" ca="1" si="36"/>
        <v>#VALUE!</v>
      </c>
      <c r="M118" s="185" t="e">
        <f t="shared" ca="1" si="36"/>
        <v>#VALUE!</v>
      </c>
      <c r="N118" s="185" t="e">
        <f t="shared" ca="1" si="36"/>
        <v>#VALUE!</v>
      </c>
      <c r="O118" s="185" t="e">
        <f t="shared" ca="1" si="36"/>
        <v>#VALUE!</v>
      </c>
      <c r="P118" s="185" t="e">
        <f t="shared" ca="1" si="36"/>
        <v>#VALUE!</v>
      </c>
      <c r="Q118" s="185" t="e">
        <f t="shared" ca="1" si="36"/>
        <v>#VALUE!</v>
      </c>
      <c r="R118" s="185" t="e">
        <f t="shared" ca="1" si="36"/>
        <v>#VALUE!</v>
      </c>
      <c r="S118" s="185" t="e">
        <f t="shared" ca="1" si="36"/>
        <v>#VALUE!</v>
      </c>
      <c r="T118" s="185" t="e">
        <f t="shared" ca="1" si="36"/>
        <v>#VALUE!</v>
      </c>
      <c r="U118" s="185" t="e">
        <f t="shared" ca="1" si="36"/>
        <v>#VALUE!</v>
      </c>
      <c r="V118" s="185" t="e">
        <f t="shared" ca="1" si="36"/>
        <v>#VALUE!</v>
      </c>
      <c r="W118" s="185" t="e">
        <f t="shared" ca="1" si="36"/>
        <v>#VALUE!</v>
      </c>
      <c r="X118" s="185" t="e">
        <f t="shared" ca="1" si="36"/>
        <v>#VALUE!</v>
      </c>
      <c r="Y118" s="185" t="e">
        <f t="shared" ca="1" si="36"/>
        <v>#VALUE!</v>
      </c>
      <c r="Z118" s="185" t="e">
        <f t="shared" ca="1" si="36"/>
        <v>#VALUE!</v>
      </c>
      <c r="AA118" s="185" t="e">
        <f t="shared" ca="1" si="37"/>
        <v>#VALUE!</v>
      </c>
      <c r="AB118" s="185" t="e">
        <f t="shared" ca="1" si="37"/>
        <v>#VALUE!</v>
      </c>
      <c r="AC118" s="185" t="e">
        <f t="shared" ca="1" si="37"/>
        <v>#VALUE!</v>
      </c>
      <c r="AD118" s="185" t="e">
        <f t="shared" ca="1" si="37"/>
        <v>#VALUE!</v>
      </c>
      <c r="AE118" s="185" t="e">
        <f t="shared" ca="1" si="37"/>
        <v>#VALUE!</v>
      </c>
      <c r="AF118" s="185" t="e">
        <f t="shared" ca="1" si="37"/>
        <v>#VALUE!</v>
      </c>
      <c r="AG118" s="185" t="e">
        <f t="shared" ca="1" si="37"/>
        <v>#VALUE!</v>
      </c>
      <c r="AH118" s="185" t="e">
        <f t="shared" ca="1" si="37"/>
        <v>#VALUE!</v>
      </c>
      <c r="AI118" s="185" t="e">
        <f t="shared" ca="1" si="37"/>
        <v>#VALUE!</v>
      </c>
      <c r="AJ118" s="185" t="e">
        <f t="shared" ca="1" si="37"/>
        <v>#VALUE!</v>
      </c>
      <c r="AK118" s="185" t="e">
        <f t="shared" ca="1" si="37"/>
        <v>#VALUE!</v>
      </c>
      <c r="AL118" s="185" t="e">
        <f t="shared" ca="1" si="37"/>
        <v>#VALUE!</v>
      </c>
      <c r="AM118" s="185" t="e">
        <f t="shared" ca="1" si="37"/>
        <v>#VALUE!</v>
      </c>
      <c r="AN118" s="185" t="e">
        <f t="shared" ca="1" si="37"/>
        <v>#VALUE!</v>
      </c>
      <c r="AO118" s="185" t="e">
        <f t="shared" ca="1" si="37"/>
        <v>#VALUE!</v>
      </c>
      <c r="AP118" s="185" t="e">
        <f t="shared" ca="1" si="37"/>
        <v>#VALUE!</v>
      </c>
    </row>
    <row r="119" spans="1:42">
      <c r="A119" s="57" t="str">
        <f>'[4]TS BYDem'!A58</f>
        <v>*</v>
      </c>
      <c r="B119" s="185" t="s">
        <v>288</v>
      </c>
      <c r="C119" s="185" t="s">
        <v>137</v>
      </c>
      <c r="D119" s="185" t="str">
        <f>'[4]TS BYDem'!D58</f>
        <v>IISF</v>
      </c>
      <c r="E119" s="185" t="s">
        <v>137</v>
      </c>
      <c r="F119" s="185" t="s">
        <v>137</v>
      </c>
      <c r="G119" s="185" t="s">
        <v>137</v>
      </c>
      <c r="H119" s="185" t="s">
        <v>137</v>
      </c>
      <c r="I119" s="185">
        <v>0</v>
      </c>
      <c r="J119" s="185" t="str">
        <f>INDEX('[4]TS BYDem'!$J$10:$J$203,MATCH(D119,'[4]TS BYDem'!$D$10:$D$203,0))</f>
        <v/>
      </c>
      <c r="K119" s="185" t="e">
        <f t="shared" ca="1" si="36"/>
        <v>#VALUE!</v>
      </c>
      <c r="L119" s="185" t="e">
        <f t="shared" ca="1" si="36"/>
        <v>#VALUE!</v>
      </c>
      <c r="M119" s="185" t="e">
        <f t="shared" ca="1" si="36"/>
        <v>#VALUE!</v>
      </c>
      <c r="N119" s="185" t="e">
        <f t="shared" ca="1" si="36"/>
        <v>#VALUE!</v>
      </c>
      <c r="O119" s="185" t="e">
        <f t="shared" ca="1" si="36"/>
        <v>#VALUE!</v>
      </c>
      <c r="P119" s="185" t="e">
        <f t="shared" ca="1" si="36"/>
        <v>#VALUE!</v>
      </c>
      <c r="Q119" s="185" t="e">
        <f t="shared" ca="1" si="36"/>
        <v>#VALUE!</v>
      </c>
      <c r="R119" s="185" t="e">
        <f t="shared" ca="1" si="36"/>
        <v>#VALUE!</v>
      </c>
      <c r="S119" s="185" t="e">
        <f t="shared" ca="1" si="36"/>
        <v>#VALUE!</v>
      </c>
      <c r="T119" s="185" t="e">
        <f t="shared" ca="1" si="36"/>
        <v>#VALUE!</v>
      </c>
      <c r="U119" s="185" t="e">
        <f t="shared" ca="1" si="36"/>
        <v>#VALUE!</v>
      </c>
      <c r="V119" s="185" t="e">
        <f t="shared" ca="1" si="36"/>
        <v>#VALUE!</v>
      </c>
      <c r="W119" s="185" t="e">
        <f t="shared" ca="1" si="36"/>
        <v>#VALUE!</v>
      </c>
      <c r="X119" s="185" t="e">
        <f t="shared" ca="1" si="36"/>
        <v>#VALUE!</v>
      </c>
      <c r="Y119" s="185" t="e">
        <f t="shared" ca="1" si="36"/>
        <v>#VALUE!</v>
      </c>
      <c r="Z119" s="185" t="e">
        <f t="shared" ca="1" si="36"/>
        <v>#VALUE!</v>
      </c>
      <c r="AA119" s="185" t="e">
        <f t="shared" ca="1" si="37"/>
        <v>#VALUE!</v>
      </c>
      <c r="AB119" s="185" t="e">
        <f t="shared" ca="1" si="37"/>
        <v>#VALUE!</v>
      </c>
      <c r="AC119" s="185" t="e">
        <f t="shared" ca="1" si="37"/>
        <v>#VALUE!</v>
      </c>
      <c r="AD119" s="185" t="e">
        <f t="shared" ca="1" si="37"/>
        <v>#VALUE!</v>
      </c>
      <c r="AE119" s="185" t="e">
        <f t="shared" ca="1" si="37"/>
        <v>#VALUE!</v>
      </c>
      <c r="AF119" s="185" t="e">
        <f t="shared" ca="1" si="37"/>
        <v>#VALUE!</v>
      </c>
      <c r="AG119" s="185" t="e">
        <f t="shared" ca="1" si="37"/>
        <v>#VALUE!</v>
      </c>
      <c r="AH119" s="185" t="e">
        <f t="shared" ca="1" si="37"/>
        <v>#VALUE!</v>
      </c>
      <c r="AI119" s="185" t="e">
        <f t="shared" ca="1" si="37"/>
        <v>#VALUE!</v>
      </c>
      <c r="AJ119" s="185" t="e">
        <f t="shared" ca="1" si="37"/>
        <v>#VALUE!</v>
      </c>
      <c r="AK119" s="185" t="e">
        <f t="shared" ca="1" si="37"/>
        <v>#VALUE!</v>
      </c>
      <c r="AL119" s="185" t="e">
        <f t="shared" ca="1" si="37"/>
        <v>#VALUE!</v>
      </c>
      <c r="AM119" s="185" t="e">
        <f t="shared" ca="1" si="37"/>
        <v>#VALUE!</v>
      </c>
      <c r="AN119" s="185" t="e">
        <f t="shared" ca="1" si="37"/>
        <v>#VALUE!</v>
      </c>
      <c r="AO119" s="185" t="e">
        <f t="shared" ca="1" si="37"/>
        <v>#VALUE!</v>
      </c>
      <c r="AP119" s="185" t="e">
        <f t="shared" ca="1" si="37"/>
        <v>#VALUE!</v>
      </c>
    </row>
    <row r="120" spans="1:42">
      <c r="A120" s="57" t="str">
        <f>'[4]TS BYDem'!A59</f>
        <v>*</v>
      </c>
      <c r="B120" s="185" t="s">
        <v>288</v>
      </c>
      <c r="C120" s="185" t="s">
        <v>137</v>
      </c>
      <c r="D120" s="185" t="str">
        <f>'[4]TS BYDem'!D59</f>
        <v>IISO</v>
      </c>
      <c r="E120" s="185" t="s">
        <v>137</v>
      </c>
      <c r="F120" s="185" t="s">
        <v>137</v>
      </c>
      <c r="G120" s="185" t="s">
        <v>137</v>
      </c>
      <c r="H120" s="185" t="s">
        <v>137</v>
      </c>
      <c r="I120" s="185">
        <v>0</v>
      </c>
      <c r="J120" s="185" t="str">
        <f>INDEX('[4]TS BYDem'!$J$10:$J$203,MATCH(D120,'[4]TS BYDem'!$D$10:$D$203,0))</f>
        <v/>
      </c>
      <c r="K120" s="185" t="e">
        <f t="shared" ca="1" si="36"/>
        <v>#VALUE!</v>
      </c>
      <c r="L120" s="185" t="e">
        <f t="shared" ca="1" si="36"/>
        <v>#VALUE!</v>
      </c>
      <c r="M120" s="185" t="e">
        <f t="shared" ca="1" si="36"/>
        <v>#VALUE!</v>
      </c>
      <c r="N120" s="185" t="e">
        <f t="shared" ca="1" si="36"/>
        <v>#VALUE!</v>
      </c>
      <c r="O120" s="185" t="e">
        <f t="shared" ca="1" si="36"/>
        <v>#VALUE!</v>
      </c>
      <c r="P120" s="185" t="e">
        <f t="shared" ca="1" si="36"/>
        <v>#VALUE!</v>
      </c>
      <c r="Q120" s="185" t="e">
        <f t="shared" ca="1" si="36"/>
        <v>#VALUE!</v>
      </c>
      <c r="R120" s="185" t="e">
        <f t="shared" ca="1" si="36"/>
        <v>#VALUE!</v>
      </c>
      <c r="S120" s="185" t="e">
        <f t="shared" ca="1" si="36"/>
        <v>#VALUE!</v>
      </c>
      <c r="T120" s="185" t="e">
        <f t="shared" ca="1" si="36"/>
        <v>#VALUE!</v>
      </c>
      <c r="U120" s="185" t="e">
        <f t="shared" ca="1" si="36"/>
        <v>#VALUE!</v>
      </c>
      <c r="V120" s="185" t="e">
        <f t="shared" ca="1" si="36"/>
        <v>#VALUE!</v>
      </c>
      <c r="W120" s="185" t="e">
        <f t="shared" ca="1" si="36"/>
        <v>#VALUE!</v>
      </c>
      <c r="X120" s="185" t="e">
        <f t="shared" ca="1" si="36"/>
        <v>#VALUE!</v>
      </c>
      <c r="Y120" s="185" t="e">
        <f t="shared" ca="1" si="36"/>
        <v>#VALUE!</v>
      </c>
      <c r="Z120" s="185" t="e">
        <f t="shared" ca="1" si="36"/>
        <v>#VALUE!</v>
      </c>
      <c r="AA120" s="185" t="e">
        <f t="shared" ca="1" si="37"/>
        <v>#VALUE!</v>
      </c>
      <c r="AB120" s="185" t="e">
        <f t="shared" ca="1" si="37"/>
        <v>#VALUE!</v>
      </c>
      <c r="AC120" s="185" t="e">
        <f t="shared" ca="1" si="37"/>
        <v>#VALUE!</v>
      </c>
      <c r="AD120" s="185" t="e">
        <f t="shared" ca="1" si="37"/>
        <v>#VALUE!</v>
      </c>
      <c r="AE120" s="185" t="e">
        <f t="shared" ca="1" si="37"/>
        <v>#VALUE!</v>
      </c>
      <c r="AF120" s="185" t="e">
        <f t="shared" ca="1" si="37"/>
        <v>#VALUE!</v>
      </c>
      <c r="AG120" s="185" t="e">
        <f t="shared" ca="1" si="37"/>
        <v>#VALUE!</v>
      </c>
      <c r="AH120" s="185" t="e">
        <f t="shared" ca="1" si="37"/>
        <v>#VALUE!</v>
      </c>
      <c r="AI120" s="185" t="e">
        <f t="shared" ca="1" si="37"/>
        <v>#VALUE!</v>
      </c>
      <c r="AJ120" s="185" t="e">
        <f t="shared" ca="1" si="37"/>
        <v>#VALUE!</v>
      </c>
      <c r="AK120" s="185" t="e">
        <f t="shared" ca="1" si="37"/>
        <v>#VALUE!</v>
      </c>
      <c r="AL120" s="185" t="e">
        <f t="shared" ca="1" si="37"/>
        <v>#VALUE!</v>
      </c>
      <c r="AM120" s="185" t="e">
        <f t="shared" ca="1" si="37"/>
        <v>#VALUE!</v>
      </c>
      <c r="AN120" s="185" t="e">
        <f t="shared" ca="1" si="37"/>
        <v>#VALUE!</v>
      </c>
      <c r="AO120" s="185" t="e">
        <f t="shared" ca="1" si="37"/>
        <v>#VALUE!</v>
      </c>
      <c r="AP120" s="185" t="e">
        <f t="shared" ca="1" si="37"/>
        <v>#VALUE!</v>
      </c>
    </row>
    <row r="121" spans="1:42">
      <c r="A121" s="57" t="str">
        <f>'[4]TS BYDem'!A60</f>
        <v>*</v>
      </c>
      <c r="B121" s="185" t="s">
        <v>288</v>
      </c>
      <c r="C121" s="185" t="s">
        <v>137</v>
      </c>
      <c r="D121" s="185" t="str">
        <f>'[4]TS BYDem'!D60</f>
        <v>IISE</v>
      </c>
      <c r="E121" s="185" t="s">
        <v>137</v>
      </c>
      <c r="F121" s="185" t="s">
        <v>137</v>
      </c>
      <c r="G121" s="185" t="s">
        <v>137</v>
      </c>
      <c r="H121" s="185" t="s">
        <v>137</v>
      </c>
      <c r="I121" s="185">
        <v>0</v>
      </c>
      <c r="J121" s="185" t="str">
        <f>INDEX('[4]TS BYDem'!$J$10:$J$203,MATCH(D121,'[4]TS BYDem'!$D$10:$D$203,0))</f>
        <v/>
      </c>
      <c r="K121" s="185" t="e">
        <f t="shared" ca="1" si="36"/>
        <v>#VALUE!</v>
      </c>
      <c r="L121" s="185" t="e">
        <f t="shared" ca="1" si="36"/>
        <v>#VALUE!</v>
      </c>
      <c r="M121" s="185" t="e">
        <f t="shared" ca="1" si="36"/>
        <v>#VALUE!</v>
      </c>
      <c r="N121" s="185" t="e">
        <f t="shared" ca="1" si="36"/>
        <v>#VALUE!</v>
      </c>
      <c r="O121" s="185" t="e">
        <f t="shared" ca="1" si="36"/>
        <v>#VALUE!</v>
      </c>
      <c r="P121" s="185" t="e">
        <f t="shared" ca="1" si="36"/>
        <v>#VALUE!</v>
      </c>
      <c r="Q121" s="185" t="e">
        <f t="shared" ca="1" si="36"/>
        <v>#VALUE!</v>
      </c>
      <c r="R121" s="185" t="e">
        <f t="shared" ca="1" si="36"/>
        <v>#VALUE!</v>
      </c>
      <c r="S121" s="185" t="e">
        <f t="shared" ca="1" si="36"/>
        <v>#VALUE!</v>
      </c>
      <c r="T121" s="185" t="e">
        <f t="shared" ca="1" si="36"/>
        <v>#VALUE!</v>
      </c>
      <c r="U121" s="185" t="e">
        <f t="shared" ca="1" si="36"/>
        <v>#VALUE!</v>
      </c>
      <c r="V121" s="185" t="e">
        <f t="shared" ca="1" si="36"/>
        <v>#VALUE!</v>
      </c>
      <c r="W121" s="185" t="e">
        <f t="shared" ca="1" si="36"/>
        <v>#VALUE!</v>
      </c>
      <c r="X121" s="185" t="e">
        <f t="shared" ca="1" si="36"/>
        <v>#VALUE!</v>
      </c>
      <c r="Y121" s="185" t="e">
        <f t="shared" ca="1" si="36"/>
        <v>#VALUE!</v>
      </c>
      <c r="Z121" s="185" t="e">
        <f t="shared" ca="1" si="36"/>
        <v>#VALUE!</v>
      </c>
      <c r="AA121" s="185" t="e">
        <f t="shared" ca="1" si="37"/>
        <v>#VALUE!</v>
      </c>
      <c r="AB121" s="185" t="e">
        <f t="shared" ca="1" si="37"/>
        <v>#VALUE!</v>
      </c>
      <c r="AC121" s="185" t="e">
        <f t="shared" ca="1" si="37"/>
        <v>#VALUE!</v>
      </c>
      <c r="AD121" s="185" t="e">
        <f t="shared" ca="1" si="37"/>
        <v>#VALUE!</v>
      </c>
      <c r="AE121" s="185" t="e">
        <f t="shared" ca="1" si="37"/>
        <v>#VALUE!</v>
      </c>
      <c r="AF121" s="185" t="e">
        <f t="shared" ca="1" si="37"/>
        <v>#VALUE!</v>
      </c>
      <c r="AG121" s="185" t="e">
        <f t="shared" ca="1" si="37"/>
        <v>#VALUE!</v>
      </c>
      <c r="AH121" s="185" t="e">
        <f t="shared" ca="1" si="37"/>
        <v>#VALUE!</v>
      </c>
      <c r="AI121" s="185" t="e">
        <f t="shared" ca="1" si="37"/>
        <v>#VALUE!</v>
      </c>
      <c r="AJ121" s="185" t="e">
        <f t="shared" ca="1" si="37"/>
        <v>#VALUE!</v>
      </c>
      <c r="AK121" s="185" t="e">
        <f t="shared" ca="1" si="37"/>
        <v>#VALUE!</v>
      </c>
      <c r="AL121" s="185" t="e">
        <f t="shared" ca="1" si="37"/>
        <v>#VALUE!</v>
      </c>
      <c r="AM121" s="185" t="e">
        <f t="shared" ca="1" si="37"/>
        <v>#VALUE!</v>
      </c>
      <c r="AN121" s="185" t="e">
        <f t="shared" ca="1" si="37"/>
        <v>#VALUE!</v>
      </c>
      <c r="AO121" s="185" t="e">
        <f t="shared" ca="1" si="37"/>
        <v>#VALUE!</v>
      </c>
      <c r="AP121" s="185" t="e">
        <f t="shared" ca="1" si="37"/>
        <v>#VALUE!</v>
      </c>
    </row>
    <row r="122" spans="1:42">
      <c r="A122" s="57" t="str">
        <f>'[4]TS BYDem'!A61</f>
        <v>*</v>
      </c>
      <c r="B122" s="185" t="s">
        <v>288</v>
      </c>
      <c r="C122" s="185" t="s">
        <v>137</v>
      </c>
      <c r="D122" s="185" t="str">
        <f>'[4]TS BYDem'!D61</f>
        <v xml:space="preserve"> </v>
      </c>
      <c r="E122" s="185" t="s">
        <v>137</v>
      </c>
      <c r="F122" s="185" t="s">
        <v>137</v>
      </c>
      <c r="G122" s="185" t="s">
        <v>137</v>
      </c>
      <c r="H122" s="185" t="s">
        <v>137</v>
      </c>
      <c r="I122" s="185">
        <v>0</v>
      </c>
      <c r="J122" s="185" t="str">
        <f>INDEX('[4]TS BYDem'!$J$10:$J$203,MATCH(D122,'[4]TS BYDem'!$D$10:$D$203,0))</f>
        <v/>
      </c>
      <c r="K122" s="185" t="e">
        <f t="shared" ca="1" si="36"/>
        <v>#VALUE!</v>
      </c>
      <c r="L122" s="185" t="e">
        <f t="shared" ca="1" si="36"/>
        <v>#VALUE!</v>
      </c>
      <c r="M122" s="185" t="e">
        <f t="shared" ca="1" si="36"/>
        <v>#VALUE!</v>
      </c>
      <c r="N122" s="185" t="e">
        <f t="shared" ca="1" si="36"/>
        <v>#VALUE!</v>
      </c>
      <c r="O122" s="185" t="e">
        <f t="shared" ca="1" si="36"/>
        <v>#VALUE!</v>
      </c>
      <c r="P122" s="185" t="e">
        <f t="shared" ca="1" si="36"/>
        <v>#VALUE!</v>
      </c>
      <c r="Q122" s="185" t="e">
        <f t="shared" ca="1" si="36"/>
        <v>#VALUE!</v>
      </c>
      <c r="R122" s="185" t="e">
        <f t="shared" ca="1" si="36"/>
        <v>#VALUE!</v>
      </c>
      <c r="S122" s="185" t="e">
        <f t="shared" ca="1" si="36"/>
        <v>#VALUE!</v>
      </c>
      <c r="T122" s="185" t="e">
        <f t="shared" ca="1" si="36"/>
        <v>#VALUE!</v>
      </c>
      <c r="U122" s="185" t="e">
        <f t="shared" ca="1" si="36"/>
        <v>#VALUE!</v>
      </c>
      <c r="V122" s="185" t="e">
        <f t="shared" ca="1" si="36"/>
        <v>#VALUE!</v>
      </c>
      <c r="W122" s="185" t="e">
        <f t="shared" ca="1" si="36"/>
        <v>#VALUE!</v>
      </c>
      <c r="X122" s="185" t="e">
        <f t="shared" ca="1" si="36"/>
        <v>#VALUE!</v>
      </c>
      <c r="Y122" s="185" t="e">
        <f t="shared" ca="1" si="36"/>
        <v>#VALUE!</v>
      </c>
      <c r="Z122" s="185" t="e">
        <f t="shared" ca="1" si="36"/>
        <v>#VALUE!</v>
      </c>
      <c r="AA122" s="185" t="e">
        <f t="shared" ca="1" si="37"/>
        <v>#VALUE!</v>
      </c>
      <c r="AB122" s="185" t="e">
        <f t="shared" ca="1" si="37"/>
        <v>#VALUE!</v>
      </c>
      <c r="AC122" s="185" t="e">
        <f t="shared" ca="1" si="37"/>
        <v>#VALUE!</v>
      </c>
      <c r="AD122" s="185" t="e">
        <f t="shared" ca="1" si="37"/>
        <v>#VALUE!</v>
      </c>
      <c r="AE122" s="185" t="e">
        <f t="shared" ca="1" si="37"/>
        <v>#VALUE!</v>
      </c>
      <c r="AF122" s="185" t="e">
        <f t="shared" ca="1" si="37"/>
        <v>#VALUE!</v>
      </c>
      <c r="AG122" s="185" t="e">
        <f t="shared" ca="1" si="37"/>
        <v>#VALUE!</v>
      </c>
      <c r="AH122" s="185" t="e">
        <f t="shared" ca="1" si="37"/>
        <v>#VALUE!</v>
      </c>
      <c r="AI122" s="185" t="e">
        <f t="shared" ca="1" si="37"/>
        <v>#VALUE!</v>
      </c>
      <c r="AJ122" s="185" t="e">
        <f t="shared" ca="1" si="37"/>
        <v>#VALUE!</v>
      </c>
      <c r="AK122" s="185" t="e">
        <f t="shared" ca="1" si="37"/>
        <v>#VALUE!</v>
      </c>
      <c r="AL122" s="185" t="e">
        <f t="shared" ca="1" si="37"/>
        <v>#VALUE!</v>
      </c>
      <c r="AM122" s="185" t="e">
        <f t="shared" ca="1" si="37"/>
        <v>#VALUE!</v>
      </c>
      <c r="AN122" s="185" t="e">
        <f t="shared" ca="1" si="37"/>
        <v>#VALUE!</v>
      </c>
      <c r="AO122" s="185" t="e">
        <f t="shared" ca="1" si="37"/>
        <v>#VALUE!</v>
      </c>
      <c r="AP122" s="185" t="e">
        <f t="shared" ca="1" si="37"/>
        <v>#VALUE!</v>
      </c>
    </row>
    <row r="123" spans="1:42">
      <c r="A123" s="57" t="str">
        <f>'[4]TS BYDem'!A62</f>
        <v>*</v>
      </c>
      <c r="B123" s="185" t="s">
        <v>288</v>
      </c>
      <c r="C123" s="185" t="s">
        <v>137</v>
      </c>
      <c r="D123" s="185" t="str">
        <f>'[4]TS BYDem'!D62</f>
        <v>IISS</v>
      </c>
      <c r="E123" s="185" t="s">
        <v>137</v>
      </c>
      <c r="F123" s="185" t="s">
        <v>137</v>
      </c>
      <c r="G123" s="185" t="s">
        <v>137</v>
      </c>
      <c r="H123" s="185" t="s">
        <v>137</v>
      </c>
      <c r="I123" s="185">
        <v>0</v>
      </c>
      <c r="J123" s="185" t="str">
        <f>INDEX('[4]TS BYDem'!$J$10:$J$203,MATCH(D123,'[4]TS BYDem'!$D$10:$D$203,0))</f>
        <v/>
      </c>
      <c r="K123" s="185" t="e">
        <f t="shared" ca="1" si="36"/>
        <v>#VALUE!</v>
      </c>
      <c r="L123" s="185" t="e">
        <f t="shared" ca="1" si="36"/>
        <v>#VALUE!</v>
      </c>
      <c r="M123" s="185" t="e">
        <f t="shared" ca="1" si="36"/>
        <v>#VALUE!</v>
      </c>
      <c r="N123" s="185" t="e">
        <f t="shared" ca="1" si="36"/>
        <v>#VALUE!</v>
      </c>
      <c r="O123" s="185" t="e">
        <f t="shared" ca="1" si="36"/>
        <v>#VALUE!</v>
      </c>
      <c r="P123" s="185" t="e">
        <f t="shared" ca="1" si="36"/>
        <v>#VALUE!</v>
      </c>
      <c r="Q123" s="185" t="e">
        <f t="shared" ca="1" si="36"/>
        <v>#VALUE!</v>
      </c>
      <c r="R123" s="185" t="e">
        <f t="shared" ca="1" si="36"/>
        <v>#VALUE!</v>
      </c>
      <c r="S123" s="185" t="e">
        <f t="shared" ca="1" si="36"/>
        <v>#VALUE!</v>
      </c>
      <c r="T123" s="185" t="e">
        <f t="shared" ca="1" si="36"/>
        <v>#VALUE!</v>
      </c>
      <c r="U123" s="185" t="e">
        <f t="shared" ca="1" si="36"/>
        <v>#VALUE!</v>
      </c>
      <c r="V123" s="185" t="e">
        <f t="shared" ca="1" si="36"/>
        <v>#VALUE!</v>
      </c>
      <c r="W123" s="185" t="e">
        <f t="shared" ca="1" si="36"/>
        <v>#VALUE!</v>
      </c>
      <c r="X123" s="185" t="e">
        <f t="shared" ca="1" si="36"/>
        <v>#VALUE!</v>
      </c>
      <c r="Y123" s="185" t="e">
        <f t="shared" ca="1" si="36"/>
        <v>#VALUE!</v>
      </c>
      <c r="Z123" s="185" t="e">
        <f t="shared" ca="1" si="36"/>
        <v>#VALUE!</v>
      </c>
      <c r="AA123" s="185" t="e">
        <f t="shared" ca="1" si="37"/>
        <v>#VALUE!</v>
      </c>
      <c r="AB123" s="185" t="e">
        <f t="shared" ca="1" si="37"/>
        <v>#VALUE!</v>
      </c>
      <c r="AC123" s="185" t="e">
        <f t="shared" ca="1" si="37"/>
        <v>#VALUE!</v>
      </c>
      <c r="AD123" s="185" t="e">
        <f t="shared" ca="1" si="37"/>
        <v>#VALUE!</v>
      </c>
      <c r="AE123" s="185" t="e">
        <f t="shared" ca="1" si="37"/>
        <v>#VALUE!</v>
      </c>
      <c r="AF123" s="185" t="e">
        <f t="shared" ca="1" si="37"/>
        <v>#VALUE!</v>
      </c>
      <c r="AG123" s="185" t="e">
        <f t="shared" ca="1" si="37"/>
        <v>#VALUE!</v>
      </c>
      <c r="AH123" s="185" t="e">
        <f t="shared" ca="1" si="37"/>
        <v>#VALUE!</v>
      </c>
      <c r="AI123" s="185" t="e">
        <f t="shared" ca="1" si="37"/>
        <v>#VALUE!</v>
      </c>
      <c r="AJ123" s="185" t="e">
        <f t="shared" ca="1" si="37"/>
        <v>#VALUE!</v>
      </c>
      <c r="AK123" s="185" t="e">
        <f t="shared" ca="1" si="37"/>
        <v>#VALUE!</v>
      </c>
      <c r="AL123" s="185" t="e">
        <f t="shared" ca="1" si="37"/>
        <v>#VALUE!</v>
      </c>
      <c r="AM123" s="185" t="e">
        <f t="shared" ca="1" si="37"/>
        <v>#VALUE!</v>
      </c>
      <c r="AN123" s="185" t="e">
        <f t="shared" ca="1" si="37"/>
        <v>#VALUE!</v>
      </c>
      <c r="AO123" s="185" t="e">
        <f t="shared" ca="1" si="37"/>
        <v>#VALUE!</v>
      </c>
      <c r="AP123" s="185" t="e">
        <f t="shared" ca="1" si="37"/>
        <v>#VALUE!</v>
      </c>
    </row>
    <row r="124" spans="1:42">
      <c r="A124" s="57" t="str">
        <f>'[4]TS BYDem'!A63</f>
        <v>*</v>
      </c>
      <c r="B124" s="185" t="s">
        <v>288</v>
      </c>
      <c r="C124" s="185" t="s">
        <v>137</v>
      </c>
      <c r="D124" s="185" t="str">
        <f>'[4]TS BYDem'!D63</f>
        <v>IISS</v>
      </c>
      <c r="E124" s="185" t="s">
        <v>137</v>
      </c>
      <c r="F124" s="185" t="s">
        <v>137</v>
      </c>
      <c r="G124" s="185" t="s">
        <v>137</v>
      </c>
      <c r="H124" s="185" t="s">
        <v>137</v>
      </c>
      <c r="I124" s="185">
        <v>0</v>
      </c>
      <c r="J124" s="185" t="str">
        <f>INDEX('[4]TS BYDem'!$J$10:$J$203,MATCH(D124,'[4]TS BYDem'!$D$10:$D$203,0))</f>
        <v/>
      </c>
      <c r="K124" s="185" t="e">
        <f t="shared" ca="1" si="36"/>
        <v>#VALUE!</v>
      </c>
      <c r="L124" s="185" t="e">
        <f t="shared" ca="1" si="36"/>
        <v>#VALUE!</v>
      </c>
      <c r="M124" s="185" t="e">
        <f t="shared" ca="1" si="36"/>
        <v>#VALUE!</v>
      </c>
      <c r="N124" s="185" t="e">
        <f t="shared" ca="1" si="36"/>
        <v>#VALUE!</v>
      </c>
      <c r="O124" s="185" t="e">
        <f t="shared" ca="1" si="36"/>
        <v>#VALUE!</v>
      </c>
      <c r="P124" s="185" t="e">
        <f t="shared" ca="1" si="36"/>
        <v>#VALUE!</v>
      </c>
      <c r="Q124" s="185" t="e">
        <f t="shared" ca="1" si="36"/>
        <v>#VALUE!</v>
      </c>
      <c r="R124" s="185" t="e">
        <f t="shared" ca="1" si="36"/>
        <v>#VALUE!</v>
      </c>
      <c r="S124" s="185" t="e">
        <f t="shared" ca="1" si="36"/>
        <v>#VALUE!</v>
      </c>
      <c r="T124" s="185" t="e">
        <f t="shared" ca="1" si="36"/>
        <v>#VALUE!</v>
      </c>
      <c r="U124" s="185" t="e">
        <f t="shared" ca="1" si="36"/>
        <v>#VALUE!</v>
      </c>
      <c r="V124" s="185" t="e">
        <f t="shared" ca="1" si="36"/>
        <v>#VALUE!</v>
      </c>
      <c r="W124" s="185" t="e">
        <f t="shared" ca="1" si="36"/>
        <v>#VALUE!</v>
      </c>
      <c r="X124" s="185" t="e">
        <f t="shared" ca="1" si="36"/>
        <v>#VALUE!</v>
      </c>
      <c r="Y124" s="185" t="e">
        <f t="shared" ca="1" si="36"/>
        <v>#VALUE!</v>
      </c>
      <c r="Z124" s="185" t="e">
        <f t="shared" ca="1" si="36"/>
        <v>#VALUE!</v>
      </c>
      <c r="AA124" s="185" t="e">
        <f t="shared" ca="1" si="37"/>
        <v>#VALUE!</v>
      </c>
      <c r="AB124" s="185" t="e">
        <f t="shared" ca="1" si="37"/>
        <v>#VALUE!</v>
      </c>
      <c r="AC124" s="185" t="e">
        <f t="shared" ca="1" si="37"/>
        <v>#VALUE!</v>
      </c>
      <c r="AD124" s="185" t="e">
        <f t="shared" ca="1" si="37"/>
        <v>#VALUE!</v>
      </c>
      <c r="AE124" s="185" t="e">
        <f t="shared" ca="1" si="37"/>
        <v>#VALUE!</v>
      </c>
      <c r="AF124" s="185" t="e">
        <f t="shared" ca="1" si="37"/>
        <v>#VALUE!</v>
      </c>
      <c r="AG124" s="185" t="e">
        <f t="shared" ca="1" si="37"/>
        <v>#VALUE!</v>
      </c>
      <c r="AH124" s="185" t="e">
        <f t="shared" ca="1" si="37"/>
        <v>#VALUE!</v>
      </c>
      <c r="AI124" s="185" t="e">
        <f t="shared" ca="1" si="37"/>
        <v>#VALUE!</v>
      </c>
      <c r="AJ124" s="185" t="e">
        <f t="shared" ca="1" si="37"/>
        <v>#VALUE!</v>
      </c>
      <c r="AK124" s="185" t="e">
        <f t="shared" ca="1" si="37"/>
        <v>#VALUE!</v>
      </c>
      <c r="AL124" s="185" t="e">
        <f t="shared" ca="1" si="37"/>
        <v>#VALUE!</v>
      </c>
      <c r="AM124" s="185" t="e">
        <f t="shared" ca="1" si="37"/>
        <v>#VALUE!</v>
      </c>
      <c r="AN124" s="185" t="e">
        <f t="shared" ca="1" si="37"/>
        <v>#VALUE!</v>
      </c>
      <c r="AO124" s="185" t="e">
        <f t="shared" ca="1" si="37"/>
        <v>#VALUE!</v>
      </c>
      <c r="AP124" s="185" t="e">
        <f t="shared" ca="1" si="37"/>
        <v>#VALUE!</v>
      </c>
    </row>
    <row r="125" spans="1:42">
      <c r="A125" s="57" t="str">
        <f>'[4]TS BYDem'!A64</f>
        <v>*</v>
      </c>
      <c r="B125" s="185" t="s">
        <v>288</v>
      </c>
      <c r="C125" s="185" t="s">
        <v>137</v>
      </c>
      <c r="D125" s="185" t="str">
        <f>'[4]TS BYDem'!D64</f>
        <v>IISS</v>
      </c>
      <c r="E125" s="185" t="s">
        <v>137</v>
      </c>
      <c r="F125" s="185" t="s">
        <v>137</v>
      </c>
      <c r="G125" s="185" t="s">
        <v>137</v>
      </c>
      <c r="H125" s="185" t="s">
        <v>137</v>
      </c>
      <c r="I125" s="185">
        <v>0</v>
      </c>
      <c r="J125" s="185" t="str">
        <f>INDEX('[4]TS BYDem'!$J$10:$J$203,MATCH(D125,'[4]TS BYDem'!$D$10:$D$203,0))</f>
        <v/>
      </c>
      <c r="K125" s="185" t="e">
        <f t="shared" ca="1" si="36"/>
        <v>#VALUE!</v>
      </c>
      <c r="L125" s="185" t="e">
        <f t="shared" ca="1" si="36"/>
        <v>#VALUE!</v>
      </c>
      <c r="M125" s="185" t="e">
        <f t="shared" ca="1" si="36"/>
        <v>#VALUE!</v>
      </c>
      <c r="N125" s="185" t="e">
        <f t="shared" ca="1" si="36"/>
        <v>#VALUE!</v>
      </c>
      <c r="O125" s="185" t="e">
        <f t="shared" ca="1" si="36"/>
        <v>#VALUE!</v>
      </c>
      <c r="P125" s="185" t="e">
        <f t="shared" ca="1" si="36"/>
        <v>#VALUE!</v>
      </c>
      <c r="Q125" s="185" t="e">
        <f t="shared" ca="1" si="36"/>
        <v>#VALUE!</v>
      </c>
      <c r="R125" s="185" t="e">
        <f t="shared" ca="1" si="36"/>
        <v>#VALUE!</v>
      </c>
      <c r="S125" s="185" t="e">
        <f t="shared" ca="1" si="36"/>
        <v>#VALUE!</v>
      </c>
      <c r="T125" s="185" t="e">
        <f t="shared" ca="1" si="36"/>
        <v>#VALUE!</v>
      </c>
      <c r="U125" s="185" t="e">
        <f t="shared" ca="1" si="36"/>
        <v>#VALUE!</v>
      </c>
      <c r="V125" s="185" t="e">
        <f t="shared" ca="1" si="36"/>
        <v>#VALUE!</v>
      </c>
      <c r="W125" s="185" t="e">
        <f t="shared" ca="1" si="36"/>
        <v>#VALUE!</v>
      </c>
      <c r="X125" s="185" t="e">
        <f t="shared" ca="1" si="36"/>
        <v>#VALUE!</v>
      </c>
      <c r="Y125" s="185" t="e">
        <f t="shared" ca="1" si="36"/>
        <v>#VALUE!</v>
      </c>
      <c r="Z125" s="185" t="e">
        <f t="shared" ca="1" si="36"/>
        <v>#VALUE!</v>
      </c>
      <c r="AA125" s="185" t="e">
        <f t="shared" ca="1" si="37"/>
        <v>#VALUE!</v>
      </c>
      <c r="AB125" s="185" t="e">
        <f t="shared" ca="1" si="37"/>
        <v>#VALUE!</v>
      </c>
      <c r="AC125" s="185" t="e">
        <f t="shared" ca="1" si="37"/>
        <v>#VALUE!</v>
      </c>
      <c r="AD125" s="185" t="e">
        <f t="shared" ca="1" si="37"/>
        <v>#VALUE!</v>
      </c>
      <c r="AE125" s="185" t="e">
        <f t="shared" ca="1" si="37"/>
        <v>#VALUE!</v>
      </c>
      <c r="AF125" s="185" t="e">
        <f t="shared" ca="1" si="37"/>
        <v>#VALUE!</v>
      </c>
      <c r="AG125" s="185" t="e">
        <f t="shared" ca="1" si="37"/>
        <v>#VALUE!</v>
      </c>
      <c r="AH125" s="185" t="e">
        <f t="shared" ca="1" si="37"/>
        <v>#VALUE!</v>
      </c>
      <c r="AI125" s="185" t="e">
        <f t="shared" ca="1" si="37"/>
        <v>#VALUE!</v>
      </c>
      <c r="AJ125" s="185" t="e">
        <f t="shared" ca="1" si="37"/>
        <v>#VALUE!</v>
      </c>
      <c r="AK125" s="185" t="e">
        <f t="shared" ca="1" si="37"/>
        <v>#VALUE!</v>
      </c>
      <c r="AL125" s="185" t="e">
        <f t="shared" ca="1" si="37"/>
        <v>#VALUE!</v>
      </c>
      <c r="AM125" s="185" t="e">
        <f t="shared" ca="1" si="37"/>
        <v>#VALUE!</v>
      </c>
      <c r="AN125" s="185" t="e">
        <f t="shared" ca="1" si="37"/>
        <v>#VALUE!</v>
      </c>
      <c r="AO125" s="185" t="e">
        <f t="shared" ca="1" si="37"/>
        <v>#VALUE!</v>
      </c>
      <c r="AP125" s="185" t="e">
        <f t="shared" ca="1" si="37"/>
        <v>#VALUE!</v>
      </c>
    </row>
    <row r="126" spans="1:42">
      <c r="A126" s="57" t="str">
        <f>'[4]TS BYDem'!A65</f>
        <v>*</v>
      </c>
      <c r="B126" s="185" t="s">
        <v>288</v>
      </c>
      <c r="C126" s="185" t="s">
        <v>137</v>
      </c>
      <c r="D126" s="185" t="str">
        <f>'[4]TS BYDem'!D65</f>
        <v>IISS</v>
      </c>
      <c r="E126" s="185" t="s">
        <v>137</v>
      </c>
      <c r="F126" s="185" t="s">
        <v>137</v>
      </c>
      <c r="G126" s="185" t="s">
        <v>137</v>
      </c>
      <c r="H126" s="185" t="s">
        <v>137</v>
      </c>
      <c r="I126" s="185">
        <v>0</v>
      </c>
      <c r="J126" s="185" t="str">
        <f>INDEX('[4]TS BYDem'!$J$10:$J$203,MATCH(D126,'[4]TS BYDem'!$D$10:$D$203,0))</f>
        <v/>
      </c>
      <c r="K126" s="185" t="e">
        <f t="shared" ca="1" si="36"/>
        <v>#VALUE!</v>
      </c>
      <c r="L126" s="185" t="e">
        <f t="shared" ca="1" si="36"/>
        <v>#VALUE!</v>
      </c>
      <c r="M126" s="185" t="e">
        <f t="shared" ca="1" si="36"/>
        <v>#VALUE!</v>
      </c>
      <c r="N126" s="185" t="e">
        <f t="shared" ca="1" si="36"/>
        <v>#VALUE!</v>
      </c>
      <c r="O126" s="185" t="e">
        <f t="shared" ca="1" si="36"/>
        <v>#VALUE!</v>
      </c>
      <c r="P126" s="185" t="e">
        <f t="shared" ca="1" si="36"/>
        <v>#VALUE!</v>
      </c>
      <c r="Q126" s="185" t="e">
        <f t="shared" ca="1" si="36"/>
        <v>#VALUE!</v>
      </c>
      <c r="R126" s="185" t="e">
        <f t="shared" ca="1" si="36"/>
        <v>#VALUE!</v>
      </c>
      <c r="S126" s="185" t="e">
        <f t="shared" ca="1" si="36"/>
        <v>#VALUE!</v>
      </c>
      <c r="T126" s="185" t="e">
        <f t="shared" ca="1" si="36"/>
        <v>#VALUE!</v>
      </c>
      <c r="U126" s="185" t="e">
        <f t="shared" ca="1" si="36"/>
        <v>#VALUE!</v>
      </c>
      <c r="V126" s="185" t="e">
        <f t="shared" ca="1" si="36"/>
        <v>#VALUE!</v>
      </c>
      <c r="W126" s="185" t="e">
        <f t="shared" ca="1" si="36"/>
        <v>#VALUE!</v>
      </c>
      <c r="X126" s="185" t="e">
        <f t="shared" ca="1" si="36"/>
        <v>#VALUE!</v>
      </c>
      <c r="Y126" s="185" t="e">
        <f t="shared" ca="1" si="36"/>
        <v>#VALUE!</v>
      </c>
      <c r="Z126" s="185" t="e">
        <f t="shared" ca="1" si="36"/>
        <v>#VALUE!</v>
      </c>
      <c r="AA126" s="185" t="e">
        <f t="shared" ca="1" si="37"/>
        <v>#VALUE!</v>
      </c>
      <c r="AB126" s="185" t="e">
        <f t="shared" ca="1" si="37"/>
        <v>#VALUE!</v>
      </c>
      <c r="AC126" s="185" t="e">
        <f t="shared" ca="1" si="37"/>
        <v>#VALUE!</v>
      </c>
      <c r="AD126" s="185" t="e">
        <f t="shared" ca="1" si="37"/>
        <v>#VALUE!</v>
      </c>
      <c r="AE126" s="185" t="e">
        <f t="shared" ca="1" si="37"/>
        <v>#VALUE!</v>
      </c>
      <c r="AF126" s="185" t="e">
        <f t="shared" ca="1" si="37"/>
        <v>#VALUE!</v>
      </c>
      <c r="AG126" s="185" t="e">
        <f t="shared" ca="1" si="37"/>
        <v>#VALUE!</v>
      </c>
      <c r="AH126" s="185" t="e">
        <f t="shared" ca="1" si="37"/>
        <v>#VALUE!</v>
      </c>
      <c r="AI126" s="185" t="e">
        <f t="shared" ca="1" si="37"/>
        <v>#VALUE!</v>
      </c>
      <c r="AJ126" s="185" t="e">
        <f t="shared" ca="1" si="37"/>
        <v>#VALUE!</v>
      </c>
      <c r="AK126" s="185" t="e">
        <f t="shared" ca="1" si="37"/>
        <v>#VALUE!</v>
      </c>
      <c r="AL126" s="185" t="e">
        <f t="shared" ca="1" si="37"/>
        <v>#VALUE!</v>
      </c>
      <c r="AM126" s="185" t="e">
        <f t="shared" ca="1" si="37"/>
        <v>#VALUE!</v>
      </c>
      <c r="AN126" s="185" t="e">
        <f t="shared" ca="1" si="37"/>
        <v>#VALUE!</v>
      </c>
      <c r="AO126" s="185" t="e">
        <f t="shared" ca="1" si="37"/>
        <v>#VALUE!</v>
      </c>
      <c r="AP126" s="185" t="e">
        <f t="shared" ca="1" si="37"/>
        <v>#VALUE!</v>
      </c>
    </row>
    <row r="127" spans="1:42">
      <c r="A127" s="57" t="str">
        <f>'[4]TS BYDem'!A66</f>
        <v>*</v>
      </c>
      <c r="B127" s="185" t="s">
        <v>288</v>
      </c>
      <c r="C127" s="185" t="s">
        <v>137</v>
      </c>
      <c r="D127" s="185" t="str">
        <f>'[4]TS BYDem'!D66</f>
        <v>IISS</v>
      </c>
      <c r="E127" s="185" t="s">
        <v>137</v>
      </c>
      <c r="F127" s="185" t="s">
        <v>137</v>
      </c>
      <c r="G127" s="185" t="s">
        <v>137</v>
      </c>
      <c r="H127" s="185" t="s">
        <v>137</v>
      </c>
      <c r="I127" s="185">
        <v>0</v>
      </c>
      <c r="J127" s="185" t="str">
        <f>INDEX('[4]TS BYDem'!$J$10:$J$203,MATCH(D127,'[4]TS BYDem'!$D$10:$D$203,0))</f>
        <v/>
      </c>
      <c r="K127" s="185" t="e">
        <f t="shared" ca="1" si="36"/>
        <v>#VALUE!</v>
      </c>
      <c r="L127" s="185" t="e">
        <f t="shared" ca="1" si="36"/>
        <v>#VALUE!</v>
      </c>
      <c r="M127" s="185" t="e">
        <f t="shared" ca="1" si="36"/>
        <v>#VALUE!</v>
      </c>
      <c r="N127" s="185" t="e">
        <f t="shared" ca="1" si="36"/>
        <v>#VALUE!</v>
      </c>
      <c r="O127" s="185" t="e">
        <f t="shared" ca="1" si="36"/>
        <v>#VALUE!</v>
      </c>
      <c r="P127" s="185" t="e">
        <f t="shared" ca="1" si="36"/>
        <v>#VALUE!</v>
      </c>
      <c r="Q127" s="185" t="e">
        <f t="shared" ca="1" si="36"/>
        <v>#VALUE!</v>
      </c>
      <c r="R127" s="185" t="e">
        <f t="shared" ca="1" si="36"/>
        <v>#VALUE!</v>
      </c>
      <c r="S127" s="185" t="e">
        <f t="shared" ca="1" si="36"/>
        <v>#VALUE!</v>
      </c>
      <c r="T127" s="185" t="e">
        <f t="shared" ca="1" si="36"/>
        <v>#VALUE!</v>
      </c>
      <c r="U127" s="185" t="e">
        <f t="shared" ca="1" si="36"/>
        <v>#VALUE!</v>
      </c>
      <c r="V127" s="185" t="e">
        <f t="shared" ca="1" si="36"/>
        <v>#VALUE!</v>
      </c>
      <c r="W127" s="185" t="e">
        <f t="shared" ca="1" si="36"/>
        <v>#VALUE!</v>
      </c>
      <c r="X127" s="185" t="e">
        <f t="shared" ca="1" si="36"/>
        <v>#VALUE!</v>
      </c>
      <c r="Y127" s="185" t="e">
        <f t="shared" ca="1" si="36"/>
        <v>#VALUE!</v>
      </c>
      <c r="Z127" s="185" t="e">
        <f t="shared" ca="1" si="36"/>
        <v>#VALUE!</v>
      </c>
      <c r="AA127" s="185" t="e">
        <f t="shared" ca="1" si="37"/>
        <v>#VALUE!</v>
      </c>
      <c r="AB127" s="185" t="e">
        <f t="shared" ca="1" si="37"/>
        <v>#VALUE!</v>
      </c>
      <c r="AC127" s="185" t="e">
        <f t="shared" ca="1" si="37"/>
        <v>#VALUE!</v>
      </c>
      <c r="AD127" s="185" t="e">
        <f t="shared" ca="1" si="37"/>
        <v>#VALUE!</v>
      </c>
      <c r="AE127" s="185" t="e">
        <f t="shared" ca="1" si="37"/>
        <v>#VALUE!</v>
      </c>
      <c r="AF127" s="185" t="e">
        <f t="shared" ca="1" si="37"/>
        <v>#VALUE!</v>
      </c>
      <c r="AG127" s="185" t="e">
        <f t="shared" ca="1" si="37"/>
        <v>#VALUE!</v>
      </c>
      <c r="AH127" s="185" t="e">
        <f t="shared" ca="1" si="37"/>
        <v>#VALUE!</v>
      </c>
      <c r="AI127" s="185" t="e">
        <f t="shared" ca="1" si="37"/>
        <v>#VALUE!</v>
      </c>
      <c r="AJ127" s="185" t="e">
        <f t="shared" ca="1" si="37"/>
        <v>#VALUE!</v>
      </c>
      <c r="AK127" s="185" t="e">
        <f t="shared" ca="1" si="37"/>
        <v>#VALUE!</v>
      </c>
      <c r="AL127" s="185" t="e">
        <f t="shared" ca="1" si="37"/>
        <v>#VALUE!</v>
      </c>
      <c r="AM127" s="185" t="e">
        <f t="shared" ca="1" si="37"/>
        <v>#VALUE!</v>
      </c>
      <c r="AN127" s="185" t="e">
        <f t="shared" ca="1" si="37"/>
        <v>#VALUE!</v>
      </c>
      <c r="AO127" s="185" t="e">
        <f t="shared" ca="1" si="37"/>
        <v>#VALUE!</v>
      </c>
      <c r="AP127" s="185" t="e">
        <f t="shared" ca="1" si="37"/>
        <v>#VALUE!</v>
      </c>
    </row>
    <row r="128" spans="1:42">
      <c r="A128" s="57" t="str">
        <f>'[4]TS BYDem'!A67</f>
        <v>*</v>
      </c>
      <c r="B128" s="185" t="s">
        <v>288</v>
      </c>
      <c r="C128" s="185" t="s">
        <v>137</v>
      </c>
      <c r="D128" s="185" t="str">
        <f>'[4]TS BYDem'!D67</f>
        <v>IISS</v>
      </c>
      <c r="E128" s="185" t="s">
        <v>137</v>
      </c>
      <c r="F128" s="185" t="s">
        <v>137</v>
      </c>
      <c r="G128" s="185" t="s">
        <v>137</v>
      </c>
      <c r="H128" s="185" t="s">
        <v>137</v>
      </c>
      <c r="I128" s="185">
        <v>0</v>
      </c>
      <c r="J128" s="185" t="str">
        <f>INDEX('[4]TS BYDem'!$J$10:$J$203,MATCH(D128,'[4]TS BYDem'!$D$10:$D$203,0))</f>
        <v/>
      </c>
      <c r="K128" s="185" t="e">
        <f t="shared" ca="1" si="36"/>
        <v>#VALUE!</v>
      </c>
      <c r="L128" s="185" t="e">
        <f t="shared" ca="1" si="36"/>
        <v>#VALUE!</v>
      </c>
      <c r="M128" s="185" t="e">
        <f t="shared" ca="1" si="36"/>
        <v>#VALUE!</v>
      </c>
      <c r="N128" s="185" t="e">
        <f t="shared" ca="1" si="36"/>
        <v>#VALUE!</v>
      </c>
      <c r="O128" s="185" t="e">
        <f t="shared" ca="1" si="36"/>
        <v>#VALUE!</v>
      </c>
      <c r="P128" s="185" t="e">
        <f t="shared" ca="1" si="36"/>
        <v>#VALUE!</v>
      </c>
      <c r="Q128" s="185" t="e">
        <f t="shared" ca="1" si="36"/>
        <v>#VALUE!</v>
      </c>
      <c r="R128" s="185" t="e">
        <f t="shared" ca="1" si="36"/>
        <v>#VALUE!</v>
      </c>
      <c r="S128" s="185" t="e">
        <f t="shared" ca="1" si="36"/>
        <v>#VALUE!</v>
      </c>
      <c r="T128" s="185" t="e">
        <f t="shared" ca="1" si="36"/>
        <v>#VALUE!</v>
      </c>
      <c r="U128" s="185" t="e">
        <f t="shared" ca="1" si="36"/>
        <v>#VALUE!</v>
      </c>
      <c r="V128" s="185" t="e">
        <f t="shared" ca="1" si="36"/>
        <v>#VALUE!</v>
      </c>
      <c r="W128" s="185" t="e">
        <f t="shared" ca="1" si="36"/>
        <v>#VALUE!</v>
      </c>
      <c r="X128" s="185" t="e">
        <f t="shared" ca="1" si="36"/>
        <v>#VALUE!</v>
      </c>
      <c r="Y128" s="185" t="e">
        <f t="shared" ca="1" si="36"/>
        <v>#VALUE!</v>
      </c>
      <c r="Z128" s="185" t="e">
        <f t="shared" ref="Z128:AO132" ca="1" si="38">Z$112/Y$112*Y128</f>
        <v>#VALUE!</v>
      </c>
      <c r="AA128" s="185" t="e">
        <f t="shared" ca="1" si="37"/>
        <v>#VALUE!</v>
      </c>
      <c r="AB128" s="185" t="e">
        <f t="shared" ca="1" si="37"/>
        <v>#VALUE!</v>
      </c>
      <c r="AC128" s="185" t="e">
        <f t="shared" ca="1" si="37"/>
        <v>#VALUE!</v>
      </c>
      <c r="AD128" s="185" t="e">
        <f t="shared" ca="1" si="37"/>
        <v>#VALUE!</v>
      </c>
      <c r="AE128" s="185" t="e">
        <f t="shared" ca="1" si="37"/>
        <v>#VALUE!</v>
      </c>
      <c r="AF128" s="185" t="e">
        <f t="shared" ca="1" si="37"/>
        <v>#VALUE!</v>
      </c>
      <c r="AG128" s="185" t="e">
        <f t="shared" ca="1" si="37"/>
        <v>#VALUE!</v>
      </c>
      <c r="AH128" s="185" t="e">
        <f t="shared" ca="1" si="37"/>
        <v>#VALUE!</v>
      </c>
      <c r="AI128" s="185" t="e">
        <f t="shared" ca="1" si="37"/>
        <v>#VALUE!</v>
      </c>
      <c r="AJ128" s="185" t="e">
        <f t="shared" ca="1" si="37"/>
        <v>#VALUE!</v>
      </c>
      <c r="AK128" s="185" t="e">
        <f t="shared" ca="1" si="37"/>
        <v>#VALUE!</v>
      </c>
      <c r="AL128" s="185" t="e">
        <f t="shared" ca="1" si="37"/>
        <v>#VALUE!</v>
      </c>
      <c r="AM128" s="185" t="e">
        <f t="shared" ca="1" si="37"/>
        <v>#VALUE!</v>
      </c>
      <c r="AN128" s="185" t="e">
        <f t="shared" ca="1" si="37"/>
        <v>#VALUE!</v>
      </c>
      <c r="AO128" s="185" t="e">
        <f t="shared" ca="1" si="37"/>
        <v>#VALUE!</v>
      </c>
      <c r="AP128" s="185" t="e">
        <f t="shared" ref="AP128:AP132" ca="1" si="39">AP$112/AO$112*AO128</f>
        <v>#VALUE!</v>
      </c>
    </row>
    <row r="129" spans="1:42">
      <c r="A129" s="57" t="str">
        <f>'[4]TS BYDem'!A68</f>
        <v>*</v>
      </c>
      <c r="B129" s="185" t="s">
        <v>288</v>
      </c>
      <c r="C129" s="185" t="s">
        <v>137</v>
      </c>
      <c r="D129" s="185">
        <f>'[4]TS BYDem'!D68</f>
        <v>0</v>
      </c>
      <c r="E129" s="185" t="s">
        <v>137</v>
      </c>
      <c r="F129" s="185" t="s">
        <v>137</v>
      </c>
      <c r="G129" s="185" t="s">
        <v>137</v>
      </c>
      <c r="H129" s="185" t="s">
        <v>137</v>
      </c>
      <c r="I129" s="185">
        <v>0</v>
      </c>
      <c r="J129" s="185" t="str">
        <f>INDEX('[4]TS BYDem'!$J$10:$J$203,MATCH(D129,'[4]TS BYDem'!$D$10:$D$203,0))</f>
        <v/>
      </c>
      <c r="K129" s="185" t="e">
        <f t="shared" ref="K129:Z132" ca="1" si="40">K$112/J$112*J129</f>
        <v>#VALUE!</v>
      </c>
      <c r="L129" s="185" t="e">
        <f t="shared" ca="1" si="40"/>
        <v>#VALUE!</v>
      </c>
      <c r="M129" s="185" t="e">
        <f t="shared" ca="1" si="40"/>
        <v>#VALUE!</v>
      </c>
      <c r="N129" s="185" t="e">
        <f t="shared" ca="1" si="40"/>
        <v>#VALUE!</v>
      </c>
      <c r="O129" s="185" t="e">
        <f t="shared" ca="1" si="40"/>
        <v>#VALUE!</v>
      </c>
      <c r="P129" s="185" t="e">
        <f t="shared" ca="1" si="40"/>
        <v>#VALUE!</v>
      </c>
      <c r="Q129" s="185" t="e">
        <f t="shared" ca="1" si="40"/>
        <v>#VALUE!</v>
      </c>
      <c r="R129" s="185" t="e">
        <f t="shared" ca="1" si="40"/>
        <v>#VALUE!</v>
      </c>
      <c r="S129" s="185" t="e">
        <f t="shared" ca="1" si="40"/>
        <v>#VALUE!</v>
      </c>
      <c r="T129" s="185" t="e">
        <f t="shared" ca="1" si="40"/>
        <v>#VALUE!</v>
      </c>
      <c r="U129" s="185" t="e">
        <f t="shared" ca="1" si="40"/>
        <v>#VALUE!</v>
      </c>
      <c r="V129" s="185" t="e">
        <f t="shared" ca="1" si="40"/>
        <v>#VALUE!</v>
      </c>
      <c r="W129" s="185" t="e">
        <f t="shared" ca="1" si="40"/>
        <v>#VALUE!</v>
      </c>
      <c r="X129" s="185" t="e">
        <f t="shared" ca="1" si="40"/>
        <v>#VALUE!</v>
      </c>
      <c r="Y129" s="185" t="e">
        <f t="shared" ca="1" si="40"/>
        <v>#VALUE!</v>
      </c>
      <c r="Z129" s="185" t="e">
        <f t="shared" ca="1" si="38"/>
        <v>#VALUE!</v>
      </c>
      <c r="AA129" s="185" t="e">
        <f t="shared" ca="1" si="38"/>
        <v>#VALUE!</v>
      </c>
      <c r="AB129" s="185" t="e">
        <f t="shared" ca="1" si="38"/>
        <v>#VALUE!</v>
      </c>
      <c r="AC129" s="185" t="e">
        <f t="shared" ca="1" si="38"/>
        <v>#VALUE!</v>
      </c>
      <c r="AD129" s="185" t="e">
        <f t="shared" ca="1" si="38"/>
        <v>#VALUE!</v>
      </c>
      <c r="AE129" s="185" t="e">
        <f t="shared" ca="1" si="38"/>
        <v>#VALUE!</v>
      </c>
      <c r="AF129" s="185" t="e">
        <f t="shared" ca="1" si="38"/>
        <v>#VALUE!</v>
      </c>
      <c r="AG129" s="185" t="e">
        <f t="shared" ca="1" si="38"/>
        <v>#VALUE!</v>
      </c>
      <c r="AH129" s="185" t="e">
        <f t="shared" ca="1" si="38"/>
        <v>#VALUE!</v>
      </c>
      <c r="AI129" s="185" t="e">
        <f t="shared" ca="1" si="38"/>
        <v>#VALUE!</v>
      </c>
      <c r="AJ129" s="185" t="e">
        <f t="shared" ca="1" si="38"/>
        <v>#VALUE!</v>
      </c>
      <c r="AK129" s="185" t="e">
        <f t="shared" ca="1" si="38"/>
        <v>#VALUE!</v>
      </c>
      <c r="AL129" s="185" t="e">
        <f t="shared" ca="1" si="38"/>
        <v>#VALUE!</v>
      </c>
      <c r="AM129" s="185" t="e">
        <f t="shared" ca="1" si="38"/>
        <v>#VALUE!</v>
      </c>
      <c r="AN129" s="185" t="e">
        <f t="shared" ca="1" si="38"/>
        <v>#VALUE!</v>
      </c>
      <c r="AO129" s="185" t="e">
        <f t="shared" ca="1" si="38"/>
        <v>#VALUE!</v>
      </c>
      <c r="AP129" s="185" t="e">
        <f t="shared" ca="1" si="39"/>
        <v>#VALUE!</v>
      </c>
    </row>
    <row r="130" spans="1:42">
      <c r="A130" s="57" t="str">
        <f>'[4]TS BYDem'!A69</f>
        <v>*</v>
      </c>
      <c r="B130" s="185" t="s">
        <v>288</v>
      </c>
      <c r="C130" s="185" t="s">
        <v>137</v>
      </c>
      <c r="D130" s="185" t="str">
        <f>'[4]TS BYDem'!D69</f>
        <v>IIST</v>
      </c>
      <c r="E130" s="185" t="s">
        <v>137</v>
      </c>
      <c r="F130" s="185" t="s">
        <v>137</v>
      </c>
      <c r="G130" s="185" t="s">
        <v>137</v>
      </c>
      <c r="H130" s="185" t="s">
        <v>137</v>
      </c>
      <c r="I130" s="185">
        <v>0</v>
      </c>
      <c r="J130" s="185" t="str">
        <f>INDEX('[4]TS BYDem'!$J$10:$J$203,MATCH(D130,'[4]TS BYDem'!$D$10:$D$203,0))</f>
        <v/>
      </c>
      <c r="K130" s="185" t="e">
        <f t="shared" ca="1" si="40"/>
        <v>#VALUE!</v>
      </c>
      <c r="L130" s="185" t="e">
        <f t="shared" ca="1" si="40"/>
        <v>#VALUE!</v>
      </c>
      <c r="M130" s="185" t="e">
        <f t="shared" ca="1" si="40"/>
        <v>#VALUE!</v>
      </c>
      <c r="N130" s="185" t="e">
        <f t="shared" ca="1" si="40"/>
        <v>#VALUE!</v>
      </c>
      <c r="O130" s="185" t="e">
        <f t="shared" ca="1" si="40"/>
        <v>#VALUE!</v>
      </c>
      <c r="P130" s="185" t="e">
        <f t="shared" ca="1" si="40"/>
        <v>#VALUE!</v>
      </c>
      <c r="Q130" s="185" t="e">
        <f t="shared" ca="1" si="40"/>
        <v>#VALUE!</v>
      </c>
      <c r="R130" s="185" t="e">
        <f t="shared" ca="1" si="40"/>
        <v>#VALUE!</v>
      </c>
      <c r="S130" s="185" t="e">
        <f t="shared" ca="1" si="40"/>
        <v>#VALUE!</v>
      </c>
      <c r="T130" s="185" t="e">
        <f t="shared" ca="1" si="40"/>
        <v>#VALUE!</v>
      </c>
      <c r="U130" s="185" t="e">
        <f t="shared" ca="1" si="40"/>
        <v>#VALUE!</v>
      </c>
      <c r="V130" s="185" t="e">
        <f t="shared" ca="1" si="40"/>
        <v>#VALUE!</v>
      </c>
      <c r="W130" s="185" t="e">
        <f t="shared" ca="1" si="40"/>
        <v>#VALUE!</v>
      </c>
      <c r="X130" s="185" t="e">
        <f t="shared" ca="1" si="40"/>
        <v>#VALUE!</v>
      </c>
      <c r="Y130" s="185" t="e">
        <f t="shared" ca="1" si="40"/>
        <v>#VALUE!</v>
      </c>
      <c r="Z130" s="185" t="e">
        <f t="shared" ca="1" si="38"/>
        <v>#VALUE!</v>
      </c>
      <c r="AA130" s="185" t="e">
        <f t="shared" ca="1" si="38"/>
        <v>#VALUE!</v>
      </c>
      <c r="AB130" s="185" t="e">
        <f t="shared" ca="1" si="38"/>
        <v>#VALUE!</v>
      </c>
      <c r="AC130" s="185" t="e">
        <f t="shared" ca="1" si="38"/>
        <v>#VALUE!</v>
      </c>
      <c r="AD130" s="185" t="e">
        <f t="shared" ca="1" si="38"/>
        <v>#VALUE!</v>
      </c>
      <c r="AE130" s="185" t="e">
        <f t="shared" ca="1" si="38"/>
        <v>#VALUE!</v>
      </c>
      <c r="AF130" s="185" t="e">
        <f t="shared" ca="1" si="38"/>
        <v>#VALUE!</v>
      </c>
      <c r="AG130" s="185" t="e">
        <f t="shared" ca="1" si="38"/>
        <v>#VALUE!</v>
      </c>
      <c r="AH130" s="185" t="e">
        <f t="shared" ca="1" si="38"/>
        <v>#VALUE!</v>
      </c>
      <c r="AI130" s="185" t="e">
        <f t="shared" ca="1" si="38"/>
        <v>#VALUE!</v>
      </c>
      <c r="AJ130" s="185" t="e">
        <f t="shared" ca="1" si="38"/>
        <v>#VALUE!</v>
      </c>
      <c r="AK130" s="185" t="e">
        <f t="shared" ca="1" si="38"/>
        <v>#VALUE!</v>
      </c>
      <c r="AL130" s="185" t="e">
        <f t="shared" ca="1" si="38"/>
        <v>#VALUE!</v>
      </c>
      <c r="AM130" s="185" t="e">
        <f t="shared" ca="1" si="38"/>
        <v>#VALUE!</v>
      </c>
      <c r="AN130" s="185" t="e">
        <f t="shared" ca="1" si="38"/>
        <v>#VALUE!</v>
      </c>
      <c r="AO130" s="185" t="e">
        <f t="shared" ca="1" si="38"/>
        <v>#VALUE!</v>
      </c>
      <c r="AP130" s="185" t="e">
        <f t="shared" ca="1" si="39"/>
        <v>#VALUE!</v>
      </c>
    </row>
    <row r="131" spans="1:42">
      <c r="A131" s="57" t="str">
        <f>'[4]TS BYDem'!A70</f>
        <v>*</v>
      </c>
      <c r="B131" s="185" t="s">
        <v>288</v>
      </c>
      <c r="C131" s="185" t="s">
        <v>137</v>
      </c>
      <c r="D131" s="185" t="str">
        <f>'[4]TS BYDem'!D70</f>
        <v>Useful Energy Service</v>
      </c>
      <c r="E131" s="185" t="s">
        <v>137</v>
      </c>
      <c r="F131" s="185" t="s">
        <v>137</v>
      </c>
      <c r="G131" s="185" t="s">
        <v>137</v>
      </c>
      <c r="H131" s="185" t="s">
        <v>137</v>
      </c>
      <c r="I131" s="185">
        <v>0</v>
      </c>
      <c r="J131" s="185" t="str">
        <f>INDEX('[4]TS BYDem'!$J$10:$J$203,MATCH(D131,'[4]TS BYDem'!$D$10:$D$203,0))</f>
        <v/>
      </c>
      <c r="K131" s="185" t="e">
        <f t="shared" ca="1" si="40"/>
        <v>#VALUE!</v>
      </c>
      <c r="L131" s="185" t="e">
        <f t="shared" ca="1" si="40"/>
        <v>#VALUE!</v>
      </c>
      <c r="M131" s="185" t="e">
        <f t="shared" ca="1" si="40"/>
        <v>#VALUE!</v>
      </c>
      <c r="N131" s="185" t="e">
        <f t="shared" ca="1" si="40"/>
        <v>#VALUE!</v>
      </c>
      <c r="O131" s="185" t="e">
        <f t="shared" ca="1" si="40"/>
        <v>#VALUE!</v>
      </c>
      <c r="P131" s="185" t="e">
        <f t="shared" ca="1" si="40"/>
        <v>#VALUE!</v>
      </c>
      <c r="Q131" s="185" t="e">
        <f t="shared" ca="1" si="40"/>
        <v>#VALUE!</v>
      </c>
      <c r="R131" s="185" t="e">
        <f t="shared" ca="1" si="40"/>
        <v>#VALUE!</v>
      </c>
      <c r="S131" s="185" t="e">
        <f t="shared" ca="1" si="40"/>
        <v>#VALUE!</v>
      </c>
      <c r="T131" s="185" t="e">
        <f t="shared" ca="1" si="40"/>
        <v>#VALUE!</v>
      </c>
      <c r="U131" s="185" t="e">
        <f t="shared" ca="1" si="40"/>
        <v>#VALUE!</v>
      </c>
      <c r="V131" s="185" t="e">
        <f t="shared" ca="1" si="40"/>
        <v>#VALUE!</v>
      </c>
      <c r="W131" s="185" t="e">
        <f t="shared" ca="1" si="40"/>
        <v>#VALUE!</v>
      </c>
      <c r="X131" s="185" t="e">
        <f t="shared" ca="1" si="40"/>
        <v>#VALUE!</v>
      </c>
      <c r="Y131" s="185" t="e">
        <f t="shared" ca="1" si="40"/>
        <v>#VALUE!</v>
      </c>
      <c r="Z131" s="185" t="e">
        <f t="shared" ca="1" si="38"/>
        <v>#VALUE!</v>
      </c>
      <c r="AA131" s="185" t="e">
        <f t="shared" ca="1" si="38"/>
        <v>#VALUE!</v>
      </c>
      <c r="AB131" s="185" t="e">
        <f t="shared" ca="1" si="38"/>
        <v>#VALUE!</v>
      </c>
      <c r="AC131" s="185" t="e">
        <f t="shared" ca="1" si="38"/>
        <v>#VALUE!</v>
      </c>
      <c r="AD131" s="185" t="e">
        <f t="shared" ca="1" si="38"/>
        <v>#VALUE!</v>
      </c>
      <c r="AE131" s="185" t="e">
        <f t="shared" ca="1" si="38"/>
        <v>#VALUE!</v>
      </c>
      <c r="AF131" s="185" t="e">
        <f t="shared" ca="1" si="38"/>
        <v>#VALUE!</v>
      </c>
      <c r="AG131" s="185" t="e">
        <f t="shared" ca="1" si="38"/>
        <v>#VALUE!</v>
      </c>
      <c r="AH131" s="185" t="e">
        <f t="shared" ca="1" si="38"/>
        <v>#VALUE!</v>
      </c>
      <c r="AI131" s="185" t="e">
        <f t="shared" ca="1" si="38"/>
        <v>#VALUE!</v>
      </c>
      <c r="AJ131" s="185" t="e">
        <f t="shared" ca="1" si="38"/>
        <v>#VALUE!</v>
      </c>
      <c r="AK131" s="185" t="e">
        <f t="shared" ca="1" si="38"/>
        <v>#VALUE!</v>
      </c>
      <c r="AL131" s="185" t="e">
        <f t="shared" ca="1" si="38"/>
        <v>#VALUE!</v>
      </c>
      <c r="AM131" s="185" t="e">
        <f t="shared" ca="1" si="38"/>
        <v>#VALUE!</v>
      </c>
      <c r="AN131" s="185" t="e">
        <f t="shared" ca="1" si="38"/>
        <v>#VALUE!</v>
      </c>
      <c r="AO131" s="185" t="e">
        <f t="shared" ca="1" si="38"/>
        <v>#VALUE!</v>
      </c>
      <c r="AP131" s="185" t="e">
        <f t="shared" ca="1" si="39"/>
        <v>#VALUE!</v>
      </c>
    </row>
    <row r="132" spans="1:42">
      <c r="A132" s="57" t="str">
        <f>'[4]TS BYDem'!A71</f>
        <v>*</v>
      </c>
      <c r="B132" s="185" t="s">
        <v>288</v>
      </c>
      <c r="C132" s="185" t="s">
        <v>137</v>
      </c>
      <c r="D132" s="185">
        <f>'[4]TS BYDem'!D71</f>
        <v>0</v>
      </c>
      <c r="E132" s="185" t="s">
        <v>137</v>
      </c>
      <c r="F132" s="185" t="s">
        <v>137</v>
      </c>
      <c r="G132" s="185" t="s">
        <v>137</v>
      </c>
      <c r="H132" s="185" t="s">
        <v>137</v>
      </c>
      <c r="I132" s="185">
        <v>0</v>
      </c>
      <c r="J132" s="185" t="str">
        <f>INDEX('[4]TS BYDem'!$J$10:$J$203,MATCH(D132,'[4]TS BYDem'!$D$10:$D$203,0))</f>
        <v/>
      </c>
      <c r="K132" s="185" t="e">
        <f t="shared" ca="1" si="40"/>
        <v>#VALUE!</v>
      </c>
      <c r="L132" s="185" t="e">
        <f t="shared" ca="1" si="40"/>
        <v>#VALUE!</v>
      </c>
      <c r="M132" s="185" t="e">
        <f t="shared" ca="1" si="40"/>
        <v>#VALUE!</v>
      </c>
      <c r="N132" s="185" t="e">
        <f t="shared" ca="1" si="40"/>
        <v>#VALUE!</v>
      </c>
      <c r="O132" s="185" t="e">
        <f t="shared" ca="1" si="40"/>
        <v>#VALUE!</v>
      </c>
      <c r="P132" s="185" t="e">
        <f t="shared" ca="1" si="40"/>
        <v>#VALUE!</v>
      </c>
      <c r="Q132" s="185" t="e">
        <f t="shared" ca="1" si="40"/>
        <v>#VALUE!</v>
      </c>
      <c r="R132" s="185" t="e">
        <f t="shared" ca="1" si="40"/>
        <v>#VALUE!</v>
      </c>
      <c r="S132" s="185" t="e">
        <f t="shared" ca="1" si="40"/>
        <v>#VALUE!</v>
      </c>
      <c r="T132" s="185" t="e">
        <f t="shared" ca="1" si="40"/>
        <v>#VALUE!</v>
      </c>
      <c r="U132" s="185" t="e">
        <f t="shared" ca="1" si="40"/>
        <v>#VALUE!</v>
      </c>
      <c r="V132" s="185" t="e">
        <f t="shared" ca="1" si="40"/>
        <v>#VALUE!</v>
      </c>
      <c r="W132" s="185" t="e">
        <f t="shared" ca="1" si="40"/>
        <v>#VALUE!</v>
      </c>
      <c r="X132" s="185" t="e">
        <f t="shared" ca="1" si="40"/>
        <v>#VALUE!</v>
      </c>
      <c r="Y132" s="185" t="e">
        <f t="shared" ca="1" si="40"/>
        <v>#VALUE!</v>
      </c>
      <c r="Z132" s="185" t="e">
        <f t="shared" ca="1" si="40"/>
        <v>#VALUE!</v>
      </c>
      <c r="AA132" s="185" t="e">
        <f t="shared" ca="1" si="38"/>
        <v>#VALUE!</v>
      </c>
      <c r="AB132" s="185" t="e">
        <f t="shared" ca="1" si="38"/>
        <v>#VALUE!</v>
      </c>
      <c r="AC132" s="185" t="e">
        <f t="shared" ca="1" si="38"/>
        <v>#VALUE!</v>
      </c>
      <c r="AD132" s="185" t="e">
        <f t="shared" ca="1" si="38"/>
        <v>#VALUE!</v>
      </c>
      <c r="AE132" s="185" t="e">
        <f t="shared" ca="1" si="38"/>
        <v>#VALUE!</v>
      </c>
      <c r="AF132" s="185" t="e">
        <f t="shared" ca="1" si="38"/>
        <v>#VALUE!</v>
      </c>
      <c r="AG132" s="185" t="e">
        <f t="shared" ca="1" si="38"/>
        <v>#VALUE!</v>
      </c>
      <c r="AH132" s="185" t="e">
        <f t="shared" ca="1" si="38"/>
        <v>#VALUE!</v>
      </c>
      <c r="AI132" s="185" t="e">
        <f t="shared" ca="1" si="38"/>
        <v>#VALUE!</v>
      </c>
      <c r="AJ132" s="185" t="e">
        <f t="shared" ca="1" si="38"/>
        <v>#VALUE!</v>
      </c>
      <c r="AK132" s="185" t="e">
        <f t="shared" ca="1" si="38"/>
        <v>#VALUE!</v>
      </c>
      <c r="AL132" s="185" t="e">
        <f t="shared" ca="1" si="38"/>
        <v>#VALUE!</v>
      </c>
      <c r="AM132" s="185" t="e">
        <f t="shared" ca="1" si="38"/>
        <v>#VALUE!</v>
      </c>
      <c r="AN132" s="185" t="e">
        <f t="shared" ca="1" si="38"/>
        <v>#VALUE!</v>
      </c>
      <c r="AO132" s="185" t="e">
        <f t="shared" ca="1" si="38"/>
        <v>#VALUE!</v>
      </c>
      <c r="AP132" s="185" t="e">
        <f t="shared" ca="1" si="39"/>
        <v>#VALUE!</v>
      </c>
    </row>
    <row r="133" spans="1:42" s="5" customFormat="1">
      <c r="A133" s="57" t="str">
        <f>'[4]TS BYDem'!A70</f>
        <v>*</v>
      </c>
      <c r="B133" s="5">
        <f>B112+1</f>
        <v>4</v>
      </c>
      <c r="C133" s="3" t="str">
        <f ca="1">OFFSET($C$9,$B133,0)</f>
        <v>Chemicals</v>
      </c>
      <c r="D133" s="3" t="str">
        <f ca="1">OFFSET($B$9,$B133,0)</f>
        <v>CP</v>
      </c>
      <c r="J133" s="5">
        <f ca="1">SUMIF($B$10:$B$22,$D133,J$10:J$22)*SUMIF($B$10:$B$22,$D133,J$41:J$53)</f>
        <v>52.81</v>
      </c>
      <c r="K133" s="5">
        <f t="shared" ref="K133:AP133" ca="1" si="41">SUMIF($B$10:$B$22,$D133,K$10:K$22)*SUMIF($B$10:$B$22,$D133,K$41:K$53)</f>
        <v>54.31</v>
      </c>
      <c r="L133" s="5">
        <f t="shared" ca="1" si="41"/>
        <v>55.26</v>
      </c>
      <c r="M133" s="5">
        <f t="shared" ca="1" si="41"/>
        <v>55.73</v>
      </c>
      <c r="N133" s="5">
        <f t="shared" ca="1" si="41"/>
        <v>56.3</v>
      </c>
      <c r="O133" s="5">
        <f t="shared" ca="1" si="41"/>
        <v>56.6</v>
      </c>
      <c r="P133" s="5">
        <f t="shared" ca="1" si="41"/>
        <v>57.09</v>
      </c>
      <c r="Q133" s="5">
        <f t="shared" ca="1" si="41"/>
        <v>56.96</v>
      </c>
      <c r="R133" s="5">
        <f t="shared" ca="1" si="41"/>
        <v>52.37</v>
      </c>
      <c r="S133" s="5">
        <f t="shared" ca="1" si="41"/>
        <v>53.76</v>
      </c>
      <c r="T133" s="5">
        <f t="shared" ca="1" si="41"/>
        <v>55.02</v>
      </c>
      <c r="U133" s="5">
        <f t="shared" ca="1" si="41"/>
        <v>56.21</v>
      </c>
      <c r="V133" s="5">
        <f t="shared" ca="1" si="41"/>
        <v>57.35</v>
      </c>
      <c r="W133" s="5">
        <f t="shared" ca="1" si="41"/>
        <v>58.59</v>
      </c>
      <c r="X133" s="5">
        <f t="shared" ca="1" si="41"/>
        <v>60.17</v>
      </c>
      <c r="Y133" s="5">
        <f t="shared" ca="1" si="41"/>
        <v>61.72</v>
      </c>
      <c r="Z133" s="5">
        <f t="shared" ca="1" si="41"/>
        <v>63.31</v>
      </c>
      <c r="AA133" s="5">
        <f t="shared" ca="1" si="41"/>
        <v>65.09</v>
      </c>
      <c r="AB133" s="5">
        <f t="shared" ca="1" si="41"/>
        <v>66.930000000000007</v>
      </c>
      <c r="AC133" s="5">
        <f t="shared" ca="1" si="41"/>
        <v>68.83</v>
      </c>
      <c r="AD133" s="5">
        <f t="shared" ca="1" si="41"/>
        <v>70.67</v>
      </c>
      <c r="AE133" s="5">
        <f t="shared" ca="1" si="41"/>
        <v>72.69</v>
      </c>
      <c r="AF133" s="5">
        <f t="shared" ca="1" si="41"/>
        <v>74.849999999999994</v>
      </c>
      <c r="AG133" s="5">
        <f t="shared" ca="1" si="41"/>
        <v>77.23</v>
      </c>
      <c r="AH133" s="5">
        <f t="shared" ca="1" si="41"/>
        <v>79.680000000000007</v>
      </c>
      <c r="AI133" s="5">
        <f t="shared" ca="1" si="41"/>
        <v>82.2</v>
      </c>
      <c r="AJ133" s="5">
        <f t="shared" ca="1" si="41"/>
        <v>84.75</v>
      </c>
      <c r="AK133" s="5">
        <f t="shared" ca="1" si="41"/>
        <v>87.38</v>
      </c>
      <c r="AL133" s="5">
        <f t="shared" ca="1" si="41"/>
        <v>90.15</v>
      </c>
      <c r="AM133" s="5">
        <f t="shared" ca="1" si="41"/>
        <v>105</v>
      </c>
      <c r="AN133" s="5">
        <f t="shared" ca="1" si="41"/>
        <v>123.19</v>
      </c>
      <c r="AO133" s="5">
        <f t="shared" ca="1" si="41"/>
        <v>155.67333333333409</v>
      </c>
      <c r="AP133" s="5">
        <f t="shared" ca="1" si="41"/>
        <v>188.71333333333405</v>
      </c>
    </row>
    <row r="134" spans="1:42">
      <c r="A134" s="57" t="str">
        <f>'[4]TS BYDem'!A73</f>
        <v/>
      </c>
      <c r="B134" s="185" t="s">
        <v>288</v>
      </c>
      <c r="C134" s="185" t="s">
        <v>137</v>
      </c>
      <c r="D134" s="185" t="str">
        <f>'[4]TS BYDem'!D73</f>
        <v>ICPK</v>
      </c>
      <c r="E134" s="185" t="s">
        <v>137</v>
      </c>
      <c r="F134" s="185" t="s">
        <v>137</v>
      </c>
      <c r="G134" s="185" t="s">
        <v>137</v>
      </c>
      <c r="H134" s="185" t="s">
        <v>137</v>
      </c>
      <c r="I134" s="185">
        <v>0</v>
      </c>
      <c r="J134" s="185">
        <f>INDEX('[4]TS BYDem'!$J$10:$J$203,MATCH(D134,'[4]TS BYDem'!$D$10:$D$203,0))</f>
        <v>0.55647663194961794</v>
      </c>
      <c r="K134" s="185">
        <f ca="1">K$133/J$133*J134</f>
        <v>0.57228263361453802</v>
      </c>
      <c r="L134" s="185">
        <f t="shared" ref="L134:AA134" ca="1" si="42">L$133/K$133*K134</f>
        <v>0.58229310133565393</v>
      </c>
      <c r="M134" s="192">
        <f t="shared" ref="M134:M142" si="43">O134</f>
        <v>0.80918000000000012</v>
      </c>
      <c r="N134" s="192">
        <f t="shared" ref="N134:N142" si="44">O134</f>
        <v>0.80918000000000012</v>
      </c>
      <c r="O134" s="192">
        <f>INDEX('[4]TS BYDem'!$O$10:$O$203,MATCH(D134,'[4]TS BYDem'!$D$10:$D$203,0))</f>
        <v>0.80918000000000012</v>
      </c>
      <c r="P134" s="185">
        <f t="shared" ca="1" si="42"/>
        <v>0.81618526855123685</v>
      </c>
      <c r="Q134" s="185">
        <f t="shared" ca="1" si="42"/>
        <v>0.81432672791519445</v>
      </c>
      <c r="R134" s="185">
        <f t="shared" ca="1" si="42"/>
        <v>0.74870594699646642</v>
      </c>
      <c r="S134" s="185">
        <f t="shared" ca="1" si="42"/>
        <v>0.76857803533568902</v>
      </c>
      <c r="T134" s="185">
        <f t="shared" ca="1" si="42"/>
        <v>0.78659158303886922</v>
      </c>
      <c r="U134" s="185">
        <f t="shared" ca="1" si="42"/>
        <v>0.80360437809187268</v>
      </c>
      <c r="V134" s="185">
        <f t="shared" ca="1" si="42"/>
        <v>0.81990234982332144</v>
      </c>
      <c r="W134" s="185">
        <f t="shared" ca="1" si="42"/>
        <v>0.83762996819787972</v>
      </c>
      <c r="X134" s="185">
        <f t="shared" ca="1" si="42"/>
        <v>0.86021838515901039</v>
      </c>
      <c r="Y134" s="185">
        <f t="shared" ca="1" si="42"/>
        <v>0.88237790812720829</v>
      </c>
      <c r="Z134" s="185">
        <f t="shared" ca="1" si="42"/>
        <v>0.90510928975265015</v>
      </c>
      <c r="AA134" s="185">
        <f t="shared" ca="1" si="42"/>
        <v>0.93055700000000008</v>
      </c>
      <c r="AB134" s="185">
        <f t="shared" ref="AA134:AP149" ca="1" si="45">AB$133/AA$133*AA134</f>
        <v>0.95686249823321556</v>
      </c>
      <c r="AC134" s="185">
        <f t="shared" ca="1" si="45"/>
        <v>0.98402578445229671</v>
      </c>
      <c r="AD134" s="185">
        <f t="shared" ca="1" si="45"/>
        <v>1.0103312826855122</v>
      </c>
      <c r="AE134" s="185">
        <f t="shared" ca="1" si="45"/>
        <v>1.0392101448763249</v>
      </c>
      <c r="AF134" s="185">
        <f t="shared" ca="1" si="45"/>
        <v>1.0700905123674909</v>
      </c>
      <c r="AG134" s="185">
        <f t="shared" ca="1" si="45"/>
        <v>1.1041161024734982</v>
      </c>
      <c r="AH134" s="185">
        <f t="shared" ca="1" si="45"/>
        <v>1.1391424452296821</v>
      </c>
      <c r="AI134" s="185">
        <f t="shared" ca="1" si="45"/>
        <v>1.1751695406360425</v>
      </c>
      <c r="AJ134" s="185">
        <f t="shared" ca="1" si="45"/>
        <v>1.2116255300353358</v>
      </c>
      <c r="AK134" s="185">
        <f t="shared" ca="1" si="45"/>
        <v>1.2492252367491166</v>
      </c>
      <c r="AL134" s="185">
        <f t="shared" ca="1" si="45"/>
        <v>1.288826448763251</v>
      </c>
      <c r="AM134" s="185">
        <f t="shared" ca="1" si="45"/>
        <v>1.5011289752650177</v>
      </c>
      <c r="AN134" s="185">
        <f t="shared" ca="1" si="45"/>
        <v>1.761181699646643</v>
      </c>
      <c r="AO134" s="185">
        <f t="shared" ca="1" si="45"/>
        <v>2.2255785842167359</v>
      </c>
      <c r="AP134" s="185">
        <f t="shared" ca="1" si="45"/>
        <v>2.6979338351001276</v>
      </c>
    </row>
    <row r="135" spans="1:42">
      <c r="A135" s="57" t="str">
        <f>'[4]TS BYDem'!A74</f>
        <v/>
      </c>
      <c r="B135" s="185" t="s">
        <v>288</v>
      </c>
      <c r="C135" s="185" t="s">
        <v>137</v>
      </c>
      <c r="D135" s="185" t="str">
        <f>'[4]TS BYDem'!D74</f>
        <v>ICPA</v>
      </c>
      <c r="E135" s="185" t="s">
        <v>137</v>
      </c>
      <c r="F135" s="185" t="s">
        <v>137</v>
      </c>
      <c r="G135" s="185" t="s">
        <v>137</v>
      </c>
      <c r="H135" s="185" t="s">
        <v>137</v>
      </c>
      <c r="I135" s="185">
        <v>0</v>
      </c>
      <c r="J135" s="185">
        <f>INDEX('[4]TS BYDem'!$J$10:$J$203,MATCH(D135,'[4]TS BYDem'!$D$10:$D$203,0))</f>
        <v>0.2086787369811067</v>
      </c>
      <c r="K135" s="185">
        <f t="shared" ref="K135:Z150" ca="1" si="46">K$133/J$133*J135</f>
        <v>0.21460598760545171</v>
      </c>
      <c r="L135" s="185">
        <f t="shared" ca="1" si="46"/>
        <v>0.21835991300087018</v>
      </c>
      <c r="M135" s="192">
        <f t="shared" si="43"/>
        <v>0.30344250000000006</v>
      </c>
      <c r="N135" s="192">
        <f t="shared" si="44"/>
        <v>0.30344250000000006</v>
      </c>
      <c r="O135" s="192">
        <f>INDEX('[4]TS BYDem'!$O$10:$O$203,MATCH(D135,'[4]TS BYDem'!$D$10:$D$203,0))</f>
        <v>0.30344250000000006</v>
      </c>
      <c r="P135" s="185">
        <f t="shared" ca="1" si="46"/>
        <v>0.30606947570671383</v>
      </c>
      <c r="Q135" s="185">
        <f t="shared" ca="1" si="46"/>
        <v>0.30537252296819795</v>
      </c>
      <c r="R135" s="185">
        <f t="shared" ca="1" si="46"/>
        <v>0.28076473012367492</v>
      </c>
      <c r="S135" s="185">
        <f t="shared" ca="1" si="46"/>
        <v>0.28821676325088341</v>
      </c>
      <c r="T135" s="185">
        <f t="shared" ca="1" si="46"/>
        <v>0.29497184363957601</v>
      </c>
      <c r="U135" s="185">
        <f t="shared" ca="1" si="46"/>
        <v>0.30135164178445234</v>
      </c>
      <c r="V135" s="185">
        <f t="shared" ca="1" si="46"/>
        <v>0.30746338118374567</v>
      </c>
      <c r="W135" s="185">
        <f t="shared" ca="1" si="46"/>
        <v>0.31411123807420505</v>
      </c>
      <c r="X135" s="185">
        <f t="shared" ca="1" si="46"/>
        <v>0.32258189443462904</v>
      </c>
      <c r="Y135" s="185">
        <f t="shared" ca="1" si="46"/>
        <v>0.33089171554770325</v>
      </c>
      <c r="Z135" s="185">
        <f t="shared" ca="1" si="46"/>
        <v>0.33941598365724396</v>
      </c>
      <c r="AA135" s="185">
        <f t="shared" ca="1" si="45"/>
        <v>0.34895887500000017</v>
      </c>
      <c r="AB135" s="185">
        <f t="shared" ca="1" si="45"/>
        <v>0.35882343683745599</v>
      </c>
      <c r="AC135" s="185">
        <f t="shared" ca="1" si="45"/>
        <v>0.36900966916961142</v>
      </c>
      <c r="AD135" s="185">
        <f t="shared" ca="1" si="45"/>
        <v>0.37887423100706724</v>
      </c>
      <c r="AE135" s="185">
        <f t="shared" ca="1" si="45"/>
        <v>0.38970380432862201</v>
      </c>
      <c r="AF135" s="185">
        <f t="shared" ca="1" si="45"/>
        <v>0.40128394213780927</v>
      </c>
      <c r="AG135" s="185">
        <f t="shared" ca="1" si="45"/>
        <v>0.41404353842756203</v>
      </c>
      <c r="AH135" s="185">
        <f t="shared" ca="1" si="45"/>
        <v>0.42717841696113096</v>
      </c>
      <c r="AI135" s="185">
        <f t="shared" ca="1" si="45"/>
        <v>0.44068857773851611</v>
      </c>
      <c r="AJ135" s="185">
        <f t="shared" ca="1" si="45"/>
        <v>0.45435957376325109</v>
      </c>
      <c r="AK135" s="185">
        <f t="shared" ca="1" si="45"/>
        <v>0.46845946378091891</v>
      </c>
      <c r="AL135" s="185">
        <f t="shared" ca="1" si="45"/>
        <v>0.48330991828621933</v>
      </c>
      <c r="AM135" s="185">
        <f t="shared" ca="1" si="45"/>
        <v>0.56292336572438184</v>
      </c>
      <c r="AN135" s="185">
        <f t="shared" ca="1" si="45"/>
        <v>0.66044313736749138</v>
      </c>
      <c r="AO135" s="185">
        <f t="shared" ca="1" si="45"/>
        <v>0.83459196908127631</v>
      </c>
      <c r="AP135" s="185">
        <f t="shared" ca="1" si="45"/>
        <v>1.0117251881625484</v>
      </c>
    </row>
    <row r="136" spans="1:42">
      <c r="A136" s="57" t="str">
        <f>'[4]TS BYDem'!A75</f>
        <v/>
      </c>
      <c r="B136" s="185" t="s">
        <v>288</v>
      </c>
      <c r="C136" s="185" t="s">
        <v>137</v>
      </c>
      <c r="D136" s="185" t="str">
        <f>'[4]TS BYDem'!D75</f>
        <v>ICPL</v>
      </c>
      <c r="E136" s="185" t="s">
        <v>137</v>
      </c>
      <c r="F136" s="185" t="s">
        <v>137</v>
      </c>
      <c r="G136" s="185" t="s">
        <v>137</v>
      </c>
      <c r="H136" s="185" t="s">
        <v>137</v>
      </c>
      <c r="I136" s="185">
        <v>0</v>
      </c>
      <c r="J136" s="185">
        <f>INDEX('[4]TS BYDem'!$J$10:$J$203,MATCH(D136,'[4]TS BYDem'!$D$10:$D$203,0))</f>
        <v>0.3338859791697707</v>
      </c>
      <c r="K136" s="185">
        <f t="shared" ca="1" si="46"/>
        <v>0.34336958016872271</v>
      </c>
      <c r="L136" s="185">
        <f t="shared" ca="1" si="46"/>
        <v>0.34937586080139227</v>
      </c>
      <c r="M136" s="192">
        <f t="shared" si="43"/>
        <v>0.48550800000000005</v>
      </c>
      <c r="N136" s="192">
        <f t="shared" si="44"/>
        <v>0.48550800000000005</v>
      </c>
      <c r="O136" s="192">
        <f>INDEX('[4]TS BYDem'!$O$10:$O$203,MATCH(D136,'[4]TS BYDem'!$D$10:$D$203,0))</f>
        <v>0.48550800000000005</v>
      </c>
      <c r="P136" s="185">
        <f t="shared" ca="1" si="46"/>
        <v>0.48971116113074209</v>
      </c>
      <c r="Q136" s="185">
        <f t="shared" ca="1" si="46"/>
        <v>0.48859603674911667</v>
      </c>
      <c r="R136" s="185">
        <f t="shared" ca="1" si="46"/>
        <v>0.4492235681978799</v>
      </c>
      <c r="S136" s="185">
        <f t="shared" ca="1" si="46"/>
        <v>0.46114682120141348</v>
      </c>
      <c r="T136" s="185">
        <f t="shared" ca="1" si="46"/>
        <v>0.47195494982332159</v>
      </c>
      <c r="U136" s="185">
        <f t="shared" ca="1" si="46"/>
        <v>0.48216262685512368</v>
      </c>
      <c r="V136" s="185">
        <f t="shared" ca="1" si="46"/>
        <v>0.49194140989399293</v>
      </c>
      <c r="W136" s="185">
        <f t="shared" ca="1" si="46"/>
        <v>0.50257798091872796</v>
      </c>
      <c r="X136" s="185">
        <f t="shared" ca="1" si="46"/>
        <v>0.51613103109540637</v>
      </c>
      <c r="Y136" s="185">
        <f t="shared" ca="1" si="46"/>
        <v>0.52942674487632513</v>
      </c>
      <c r="Z136" s="185">
        <f t="shared" ca="1" si="46"/>
        <v>0.54306557385159027</v>
      </c>
      <c r="AA136" s="185">
        <f t="shared" ca="1" si="45"/>
        <v>0.55833420000000022</v>
      </c>
      <c r="AB136" s="185">
        <f t="shared" ca="1" si="45"/>
        <v>0.57411749893992958</v>
      </c>
      <c r="AC136" s="185">
        <f t="shared" ca="1" si="45"/>
        <v>0.59041547067137823</v>
      </c>
      <c r="AD136" s="185">
        <f t="shared" ca="1" si="45"/>
        <v>0.60619876961130759</v>
      </c>
      <c r="AE136" s="185">
        <f t="shared" ca="1" si="45"/>
        <v>0.62352608692579525</v>
      </c>
      <c r="AF136" s="185">
        <f t="shared" ca="1" si="45"/>
        <v>0.64205430742049485</v>
      </c>
      <c r="AG136" s="185">
        <f t="shared" ca="1" si="45"/>
        <v>0.66246966148409925</v>
      </c>
      <c r="AH136" s="185">
        <f t="shared" ca="1" si="45"/>
        <v>0.68348546713780955</v>
      </c>
      <c r="AI136" s="185">
        <f t="shared" ca="1" si="45"/>
        <v>0.70510172438162577</v>
      </c>
      <c r="AJ136" s="185">
        <f t="shared" ca="1" si="45"/>
        <v>0.72697531802120174</v>
      </c>
      <c r="AK136" s="185">
        <f t="shared" ca="1" si="45"/>
        <v>0.74953514204947025</v>
      </c>
      <c r="AL136" s="185">
        <f t="shared" ca="1" si="45"/>
        <v>0.77329586925795091</v>
      </c>
      <c r="AM136" s="185">
        <f t="shared" ca="1" si="45"/>
        <v>0.90067738515901097</v>
      </c>
      <c r="AN136" s="185">
        <f t="shared" ca="1" si="45"/>
        <v>1.0567090197879863</v>
      </c>
      <c r="AO136" s="185">
        <f t="shared" ca="1" si="45"/>
        <v>1.3353471505300423</v>
      </c>
      <c r="AP136" s="185">
        <f t="shared" ca="1" si="45"/>
        <v>1.6187603010600775</v>
      </c>
    </row>
    <row r="137" spans="1:42">
      <c r="A137" s="57" t="str">
        <f>'[4]TS BYDem'!A76</f>
        <v/>
      </c>
      <c r="B137" s="185" t="s">
        <v>288</v>
      </c>
      <c r="C137" s="185" t="s">
        <v>137</v>
      </c>
      <c r="D137" s="185" t="str">
        <f>'[4]TS BYDem'!D76</f>
        <v>ICPC</v>
      </c>
      <c r="E137" s="185" t="s">
        <v>137</v>
      </c>
      <c r="F137" s="185" t="s">
        <v>137</v>
      </c>
      <c r="G137" s="185" t="s">
        <v>137</v>
      </c>
      <c r="H137" s="185" t="s">
        <v>137</v>
      </c>
      <c r="I137" s="185">
        <v>0</v>
      </c>
      <c r="J137" s="185">
        <f>INDEX('[4]TS BYDem'!$J$10:$J$203,MATCH(D137,'[4]TS BYDem'!$D$10:$D$203,0))</f>
        <v>2.7823831597480893</v>
      </c>
      <c r="K137" s="185">
        <f ca="1">K$133/J$133*J137</f>
        <v>2.8614131680726893</v>
      </c>
      <c r="L137" s="185">
        <f t="shared" ca="1" si="46"/>
        <v>2.9114655066782689</v>
      </c>
      <c r="M137" s="192">
        <f t="shared" si="43"/>
        <v>4.0459000000000005</v>
      </c>
      <c r="N137" s="192">
        <f t="shared" si="44"/>
        <v>4.0459000000000005</v>
      </c>
      <c r="O137" s="192">
        <f>INDEX('[4]TS BYDem'!$O$10:$O$203,MATCH(D137,'[4]TS BYDem'!$D$10:$D$203,0))</f>
        <v>4.0459000000000005</v>
      </c>
      <c r="P137" s="185">
        <f t="shared" ca="1" si="46"/>
        <v>4.0809263427561842</v>
      </c>
      <c r="Q137" s="185">
        <f t="shared" ca="1" si="46"/>
        <v>4.071633639575972</v>
      </c>
      <c r="R137" s="185">
        <f t="shared" ca="1" si="46"/>
        <v>3.743529734982332</v>
      </c>
      <c r="S137" s="185">
        <f t="shared" ca="1" si="46"/>
        <v>3.8428901766784449</v>
      </c>
      <c r="T137" s="185">
        <f t="shared" ca="1" si="46"/>
        <v>3.9329579151943461</v>
      </c>
      <c r="U137" s="185">
        <f t="shared" ca="1" si="46"/>
        <v>4.0180218904593632</v>
      </c>
      <c r="V137" s="185">
        <f t="shared" ca="1" si="46"/>
        <v>4.0995117491166075</v>
      </c>
      <c r="W137" s="185">
        <f t="shared" ca="1" si="46"/>
        <v>4.1881498409893991</v>
      </c>
      <c r="X137" s="185">
        <f t="shared" ca="1" si="46"/>
        <v>4.3010919257950526</v>
      </c>
      <c r="Y137" s="185">
        <f t="shared" ca="1" si="46"/>
        <v>4.4118895406360421</v>
      </c>
      <c r="Z137" s="185">
        <f t="shared" ca="1" si="46"/>
        <v>4.5255464487632509</v>
      </c>
      <c r="AA137" s="185">
        <f t="shared" ca="1" si="45"/>
        <v>4.6527850000000006</v>
      </c>
      <c r="AB137" s="185">
        <f t="shared" ca="1" si="45"/>
        <v>4.7843124911660784</v>
      </c>
      <c r="AC137" s="185">
        <f t="shared" ca="1" si="45"/>
        <v>4.9201289222614841</v>
      </c>
      <c r="AD137" s="185">
        <f t="shared" ca="1" si="45"/>
        <v>5.0516564134275619</v>
      </c>
      <c r="AE137" s="185">
        <f t="shared" ca="1" si="45"/>
        <v>5.1960507243816254</v>
      </c>
      <c r="AF137" s="185">
        <f t="shared" ca="1" si="45"/>
        <v>5.3504525618374554</v>
      </c>
      <c r="AG137" s="185">
        <f t="shared" ca="1" si="45"/>
        <v>5.5205805123674923</v>
      </c>
      <c r="AH137" s="185">
        <f t="shared" ca="1" si="45"/>
        <v>5.6957122261484114</v>
      </c>
      <c r="AI137" s="185">
        <f t="shared" ca="1" si="45"/>
        <v>5.875847703180213</v>
      </c>
      <c r="AJ137" s="185">
        <f t="shared" ca="1" si="45"/>
        <v>6.0581276501766794</v>
      </c>
      <c r="AK137" s="185">
        <f t="shared" ca="1" si="45"/>
        <v>6.2461261837455835</v>
      </c>
      <c r="AL137" s="185">
        <f t="shared" ca="1" si="45"/>
        <v>6.4441322438162558</v>
      </c>
      <c r="AM137" s="185">
        <f t="shared" ca="1" si="45"/>
        <v>7.5056448763250891</v>
      </c>
      <c r="AN137" s="185">
        <f t="shared" ca="1" si="45"/>
        <v>8.805908498233217</v>
      </c>
      <c r="AO137" s="185">
        <f t="shared" ca="1" si="45"/>
        <v>11.127892921083683</v>
      </c>
      <c r="AP137" s="185">
        <f t="shared" ca="1" si="45"/>
        <v>13.489669175500643</v>
      </c>
    </row>
    <row r="138" spans="1:42">
      <c r="A138" s="57" t="str">
        <f>'[4]TS BYDem'!A77</f>
        <v/>
      </c>
      <c r="B138" s="185" t="s">
        <v>288</v>
      </c>
      <c r="C138" s="185" t="s">
        <v>137</v>
      </c>
      <c r="D138" s="185" t="str">
        <f>'[4]TS BYDem'!D77</f>
        <v>ICPH</v>
      </c>
      <c r="E138" s="185" t="s">
        <v>137</v>
      </c>
      <c r="F138" s="185" t="s">
        <v>137</v>
      </c>
      <c r="G138" s="185" t="s">
        <v>137</v>
      </c>
      <c r="H138" s="185" t="s">
        <v>137</v>
      </c>
      <c r="I138" s="185">
        <v>0</v>
      </c>
      <c r="J138" s="185">
        <f>INDEX('[4]TS BYDem'!$J$10:$J$203,MATCH(D138,'[4]TS BYDem'!$D$10:$D$203,0))</f>
        <v>0.5008289687546561</v>
      </c>
      <c r="K138" s="185">
        <f t="shared" ref="K138:O153" ca="1" si="47">K$133/J$133*J138</f>
        <v>0.51505437025308409</v>
      </c>
      <c r="L138" s="185">
        <f t="shared" ca="1" si="46"/>
        <v>0.52406379120208846</v>
      </c>
      <c r="M138" s="192">
        <f t="shared" si="43"/>
        <v>0.72826200000000008</v>
      </c>
      <c r="N138" s="192">
        <f t="shared" si="44"/>
        <v>0.72826200000000008</v>
      </c>
      <c r="O138" s="192">
        <f>INDEX('[4]TS BYDem'!$O$10:$O$203,MATCH(D138,'[4]TS BYDem'!$D$10:$D$203,0))</f>
        <v>0.72826200000000008</v>
      </c>
      <c r="P138" s="185">
        <f t="shared" ca="1" si="46"/>
        <v>0.73456674169611313</v>
      </c>
      <c r="Q138" s="185">
        <f t="shared" ca="1" si="46"/>
        <v>0.732894055123675</v>
      </c>
      <c r="R138" s="185">
        <f t="shared" ca="1" si="46"/>
        <v>0.67383535229681979</v>
      </c>
      <c r="S138" s="185">
        <f t="shared" ca="1" si="46"/>
        <v>0.69172023180212017</v>
      </c>
      <c r="T138" s="185">
        <f t="shared" ca="1" si="46"/>
        <v>0.70793242473498241</v>
      </c>
      <c r="U138" s="185">
        <f t="shared" ca="1" si="46"/>
        <v>0.72324394028268557</v>
      </c>
      <c r="V138" s="185">
        <f t="shared" ca="1" si="46"/>
        <v>0.73791211484098951</v>
      </c>
      <c r="W138" s="185">
        <f t="shared" ca="1" si="46"/>
        <v>0.753866971378092</v>
      </c>
      <c r="X138" s="185">
        <f t="shared" ca="1" si="46"/>
        <v>0.77419654664310966</v>
      </c>
      <c r="Y138" s="185">
        <f t="shared" ca="1" si="46"/>
        <v>0.79414011731448775</v>
      </c>
      <c r="Z138" s="185">
        <f t="shared" ca="1" si="46"/>
        <v>0.81459836077738534</v>
      </c>
      <c r="AA138" s="185">
        <f t="shared" ca="1" si="45"/>
        <v>0.83750130000000023</v>
      </c>
      <c r="AB138" s="185">
        <f t="shared" ca="1" si="45"/>
        <v>0.86117624840989426</v>
      </c>
      <c r="AC138" s="185">
        <f t="shared" ca="1" si="45"/>
        <v>0.88562320600706734</v>
      </c>
      <c r="AD138" s="185">
        <f t="shared" ca="1" si="45"/>
        <v>0.90929815441696138</v>
      </c>
      <c r="AE138" s="185">
        <f t="shared" ca="1" si="45"/>
        <v>0.93528913038869288</v>
      </c>
      <c r="AF138" s="185">
        <f t="shared" ca="1" si="45"/>
        <v>0.96308146113074233</v>
      </c>
      <c r="AG138" s="185">
        <f t="shared" ca="1" si="45"/>
        <v>0.99370449222614898</v>
      </c>
      <c r="AH138" s="185">
        <f t="shared" ca="1" si="45"/>
        <v>1.0252282007067144</v>
      </c>
      <c r="AI138" s="185">
        <f t="shared" ca="1" si="45"/>
        <v>1.0576525865724387</v>
      </c>
      <c r="AJ138" s="185">
        <f t="shared" ca="1" si="45"/>
        <v>1.0904629770318026</v>
      </c>
      <c r="AK138" s="185">
        <f t="shared" ca="1" si="45"/>
        <v>1.1243027130742054</v>
      </c>
      <c r="AL138" s="185">
        <f t="shared" ca="1" si="45"/>
        <v>1.1599438038869263</v>
      </c>
      <c r="AM138" s="185">
        <f t="shared" ca="1" si="45"/>
        <v>1.3510160777385163</v>
      </c>
      <c r="AN138" s="185">
        <f t="shared" ca="1" si="45"/>
        <v>1.5850635296819793</v>
      </c>
      <c r="AO138" s="185">
        <f t="shared" ca="1" si="45"/>
        <v>2.003020725795063</v>
      </c>
      <c r="AP138" s="185">
        <f t="shared" ca="1" si="45"/>
        <v>2.4281404515901159</v>
      </c>
    </row>
    <row r="139" spans="1:42">
      <c r="A139" s="57" t="str">
        <f>'[4]TS BYDem'!A78</f>
        <v/>
      </c>
      <c r="B139" s="185" t="s">
        <v>288</v>
      </c>
      <c r="C139" s="185" t="s">
        <v>137</v>
      </c>
      <c r="D139" s="185" t="str">
        <f>'[4]TS BYDem'!D78</f>
        <v>ICPP</v>
      </c>
      <c r="E139" s="185" t="s">
        <v>137</v>
      </c>
      <c r="F139" s="185" t="s">
        <v>137</v>
      </c>
      <c r="G139" s="185" t="s">
        <v>137</v>
      </c>
      <c r="H139" s="185" t="s">
        <v>137</v>
      </c>
      <c r="I139" s="185">
        <v>0</v>
      </c>
      <c r="J139" s="185">
        <f>INDEX('[4]TS BYDem'!$J$10:$J$203,MATCH(D139,'[4]TS BYDem'!$D$10:$D$203,0))</f>
        <v>7.7906728472946494</v>
      </c>
      <c r="K139" s="185">
        <f t="shared" ca="1" si="47"/>
        <v>8.0119568706035302</v>
      </c>
      <c r="L139" s="185">
        <f t="shared" ca="1" si="46"/>
        <v>8.1521034186991539</v>
      </c>
      <c r="M139" s="192">
        <f t="shared" si="43"/>
        <v>11.328520000000001</v>
      </c>
      <c r="N139" s="192">
        <f t="shared" si="44"/>
        <v>11.328520000000001</v>
      </c>
      <c r="O139" s="192">
        <f>INDEX('[4]TS BYDem'!$O$10:$O$203,MATCH(D139,'[4]TS BYDem'!$D$10:$D$203,0))</f>
        <v>11.328520000000001</v>
      </c>
      <c r="P139" s="185">
        <f t="shared" ca="1" si="46"/>
        <v>11.426593759717315</v>
      </c>
      <c r="Q139" s="185">
        <f t="shared" ca="1" si="46"/>
        <v>11.400574190812721</v>
      </c>
      <c r="R139" s="185">
        <f t="shared" ca="1" si="46"/>
        <v>10.481883257950528</v>
      </c>
      <c r="S139" s="185">
        <f t="shared" ca="1" si="46"/>
        <v>10.760092494699645</v>
      </c>
      <c r="T139" s="185">
        <f t="shared" ca="1" si="46"/>
        <v>11.012282162544167</v>
      </c>
      <c r="U139" s="185">
        <f t="shared" ca="1" si="46"/>
        <v>11.250461293286216</v>
      </c>
      <c r="V139" s="185">
        <f t="shared" ca="1" si="46"/>
        <v>11.478632897526499</v>
      </c>
      <c r="W139" s="185">
        <f t="shared" ca="1" si="46"/>
        <v>11.726819554770314</v>
      </c>
      <c r="X139" s="185">
        <f t="shared" ca="1" si="46"/>
        <v>12.043057392226144</v>
      </c>
      <c r="Y139" s="185">
        <f t="shared" ca="1" si="46"/>
        <v>12.353290713780915</v>
      </c>
      <c r="Z139" s="185">
        <f t="shared" ca="1" si="46"/>
        <v>12.671530056537101</v>
      </c>
      <c r="AA139" s="185">
        <f t="shared" ca="1" si="45"/>
        <v>13.027797999999999</v>
      </c>
      <c r="AB139" s="185">
        <f t="shared" ca="1" si="45"/>
        <v>13.396074975265016</v>
      </c>
      <c r="AC139" s="185">
        <f t="shared" ca="1" si="45"/>
        <v>13.776360982332152</v>
      </c>
      <c r="AD139" s="185">
        <f t="shared" ca="1" si="45"/>
        <v>14.144637957597169</v>
      </c>
      <c r="AE139" s="185">
        <f t="shared" ca="1" si="45"/>
        <v>14.548942028268547</v>
      </c>
      <c r="AF139" s="185">
        <f t="shared" ca="1" si="45"/>
        <v>14.98126717314487</v>
      </c>
      <c r="AG139" s="185">
        <f t="shared" ca="1" si="45"/>
        <v>15.457625434628973</v>
      </c>
      <c r="AH139" s="185">
        <f t="shared" ca="1" si="45"/>
        <v>15.947994233215546</v>
      </c>
      <c r="AI139" s="185">
        <f t="shared" ca="1" si="45"/>
        <v>16.452373568904591</v>
      </c>
      <c r="AJ139" s="185">
        <f t="shared" ca="1" si="45"/>
        <v>16.962757420494697</v>
      </c>
      <c r="AK139" s="185">
        <f t="shared" ca="1" si="45"/>
        <v>17.489153314487627</v>
      </c>
      <c r="AL139" s="185">
        <f t="shared" ca="1" si="45"/>
        <v>18.043570282685508</v>
      </c>
      <c r="AM139" s="185">
        <f t="shared" ca="1" si="45"/>
        <v>21.015805653710238</v>
      </c>
      <c r="AN139" s="185">
        <f t="shared" ca="1" si="45"/>
        <v>24.656543795052993</v>
      </c>
      <c r="AO139" s="185">
        <f t="shared" ca="1" si="45"/>
        <v>31.158100179034292</v>
      </c>
      <c r="AP139" s="185">
        <f t="shared" ca="1" si="45"/>
        <v>37.771073691401774</v>
      </c>
    </row>
    <row r="140" spans="1:42">
      <c r="A140" s="57" t="str">
        <f>'[4]TS BYDem'!A79</f>
        <v/>
      </c>
      <c r="B140" s="185" t="s">
        <v>288</v>
      </c>
      <c r="C140" s="185" t="s">
        <v>137</v>
      </c>
      <c r="D140" s="185" t="str">
        <f>'[4]TS BYDem'!D79</f>
        <v>ICPF</v>
      </c>
      <c r="E140" s="185" t="s">
        <v>137</v>
      </c>
      <c r="F140" s="185" t="s">
        <v>137</v>
      </c>
      <c r="G140" s="185" t="s">
        <v>137</v>
      </c>
      <c r="H140" s="185" t="s">
        <v>137</v>
      </c>
      <c r="I140" s="185">
        <v>0</v>
      </c>
      <c r="J140" s="185">
        <f>INDEX('[4]TS BYDem'!$J$10:$J$203,MATCH(D140,'[4]TS BYDem'!$D$10:$D$203,0))</f>
        <v>1.7807252222387775</v>
      </c>
      <c r="K140" s="185">
        <f t="shared" ca="1" si="47"/>
        <v>1.8313044275665216</v>
      </c>
      <c r="L140" s="185">
        <f t="shared" ca="1" si="46"/>
        <v>1.8633379242740926</v>
      </c>
      <c r="M140" s="192">
        <f t="shared" si="43"/>
        <v>2.5893760000000006</v>
      </c>
      <c r="N140" s="192">
        <f t="shared" si="44"/>
        <v>2.5893760000000006</v>
      </c>
      <c r="O140" s="192">
        <f>INDEX('[4]TS BYDem'!$O$10:$O$203,MATCH(D140,'[4]TS BYDem'!$D$10:$D$203,0))</f>
        <v>2.5893760000000006</v>
      </c>
      <c r="P140" s="185">
        <f t="shared" ca="1" si="46"/>
        <v>2.6117928593639581</v>
      </c>
      <c r="Q140" s="185">
        <f t="shared" ca="1" si="46"/>
        <v>2.6058455293286222</v>
      </c>
      <c r="R140" s="185">
        <f t="shared" ca="1" si="46"/>
        <v>2.3958590303886926</v>
      </c>
      <c r="S140" s="185">
        <f t="shared" ca="1" si="46"/>
        <v>2.4594497130742048</v>
      </c>
      <c r="T140" s="185">
        <f t="shared" ca="1" si="46"/>
        <v>2.5170930657243815</v>
      </c>
      <c r="U140" s="185">
        <f t="shared" ca="1" si="46"/>
        <v>2.5715340098939925</v>
      </c>
      <c r="V140" s="185">
        <f t="shared" ca="1" si="46"/>
        <v>2.6236875194346285</v>
      </c>
      <c r="W140" s="185">
        <f t="shared" ca="1" si="46"/>
        <v>2.6804158982332149</v>
      </c>
      <c r="X140" s="185">
        <f t="shared" ca="1" si="46"/>
        <v>2.7526988325088331</v>
      </c>
      <c r="Y140" s="185">
        <f t="shared" ca="1" si="46"/>
        <v>2.8236093060070662</v>
      </c>
      <c r="Z140" s="185">
        <f t="shared" ca="1" si="46"/>
        <v>2.8963497272084799</v>
      </c>
      <c r="AA140" s="185">
        <f t="shared" ca="1" si="45"/>
        <v>2.9777823999999997</v>
      </c>
      <c r="AB140" s="185">
        <f t="shared" ca="1" si="45"/>
        <v>3.0619599943462892</v>
      </c>
      <c r="AC140" s="185">
        <f t="shared" ca="1" si="45"/>
        <v>3.1488825102473488</v>
      </c>
      <c r="AD140" s="185">
        <f t="shared" ca="1" si="45"/>
        <v>3.2330601045936387</v>
      </c>
      <c r="AE140" s="185">
        <f t="shared" ca="1" si="45"/>
        <v>3.3254724636042394</v>
      </c>
      <c r="AF140" s="185">
        <f t="shared" ca="1" si="45"/>
        <v>3.4242896395759708</v>
      </c>
      <c r="AG140" s="185">
        <f t="shared" ca="1" si="45"/>
        <v>3.5331715279151941</v>
      </c>
      <c r="AH140" s="185">
        <f t="shared" ca="1" si="45"/>
        <v>3.6452558247349822</v>
      </c>
      <c r="AI140" s="185">
        <f t="shared" ca="1" si="45"/>
        <v>3.7605425300353352</v>
      </c>
      <c r="AJ140" s="185">
        <f t="shared" ca="1" si="45"/>
        <v>3.8772016961130737</v>
      </c>
      <c r="AK140" s="185">
        <f t="shared" ca="1" si="45"/>
        <v>3.9975207575971723</v>
      </c>
      <c r="AL140" s="185">
        <f t="shared" ca="1" si="45"/>
        <v>4.1242446360424028</v>
      </c>
      <c r="AM140" s="185">
        <f t="shared" ca="1" si="45"/>
        <v>4.8036127208480561</v>
      </c>
      <c r="AN140" s="185">
        <f t="shared" ca="1" si="45"/>
        <v>5.6357814388692571</v>
      </c>
      <c r="AO140" s="185">
        <f t="shared" ca="1" si="45"/>
        <v>7.1218514694935546</v>
      </c>
      <c r="AP140" s="185">
        <f t="shared" ca="1" si="45"/>
        <v>8.6333882723204081</v>
      </c>
    </row>
    <row r="141" spans="1:42">
      <c r="A141" s="57" t="str">
        <f>'[4]TS BYDem'!A80</f>
        <v/>
      </c>
      <c r="B141" s="185" t="s">
        <v>288</v>
      </c>
      <c r="C141" s="185" t="s">
        <v>137</v>
      </c>
      <c r="D141" s="185" t="str">
        <f>'[4]TS BYDem'!D80</f>
        <v>ICPO</v>
      </c>
      <c r="E141" s="185" t="s">
        <v>137</v>
      </c>
      <c r="F141" s="185" t="s">
        <v>137</v>
      </c>
      <c r="G141" s="185" t="s">
        <v>137</v>
      </c>
      <c r="H141" s="185" t="s">
        <v>137</v>
      </c>
      <c r="I141" s="185">
        <v>0</v>
      </c>
      <c r="J141" s="185">
        <f>INDEX('[4]TS BYDem'!$J$10:$J$203,MATCH(D141,'[4]TS BYDem'!$D$10:$D$203,0))</f>
        <v>4.4518130555969435</v>
      </c>
      <c r="K141" s="185">
        <f t="shared" ca="1" si="47"/>
        <v>4.5782610689163041</v>
      </c>
      <c r="L141" s="185">
        <f t="shared" ca="1" si="46"/>
        <v>4.6583448106852314</v>
      </c>
      <c r="M141" s="192">
        <f t="shared" si="43"/>
        <v>6.473440000000001</v>
      </c>
      <c r="N141" s="192">
        <f t="shared" si="44"/>
        <v>6.473440000000001</v>
      </c>
      <c r="O141" s="192">
        <f>INDEX('[4]TS BYDem'!$O$10:$O$203,MATCH(D141,'[4]TS BYDem'!$D$10:$D$203,0))</f>
        <v>6.473440000000001</v>
      </c>
      <c r="P141" s="185">
        <f t="shared" ca="1" si="46"/>
        <v>6.5294821484098948</v>
      </c>
      <c r="Q141" s="185">
        <f t="shared" ca="1" si="46"/>
        <v>6.5146138233215556</v>
      </c>
      <c r="R141" s="185">
        <f t="shared" ca="1" si="46"/>
        <v>5.9896475759717314</v>
      </c>
      <c r="S141" s="185">
        <f t="shared" ca="1" si="46"/>
        <v>6.1486242826855122</v>
      </c>
      <c r="T141" s="185">
        <f t="shared" ca="1" si="46"/>
        <v>6.2927326643109538</v>
      </c>
      <c r="U141" s="185">
        <f t="shared" ca="1" si="46"/>
        <v>6.4288350247349815</v>
      </c>
      <c r="V141" s="185">
        <f t="shared" ca="1" si="46"/>
        <v>6.5592187985865715</v>
      </c>
      <c r="W141" s="185">
        <f t="shared" ca="1" si="46"/>
        <v>6.7010397455830377</v>
      </c>
      <c r="X141" s="185">
        <f t="shared" ca="1" si="46"/>
        <v>6.8817470812720831</v>
      </c>
      <c r="Y141" s="185">
        <f t="shared" ca="1" si="46"/>
        <v>7.0590232650176663</v>
      </c>
      <c r="Z141" s="185">
        <f t="shared" ca="1" si="46"/>
        <v>7.2408743180212012</v>
      </c>
      <c r="AA141" s="185">
        <f t="shared" ca="1" si="45"/>
        <v>7.4444560000000006</v>
      </c>
      <c r="AB141" s="185">
        <f t="shared" ca="1" si="45"/>
        <v>7.6548999858657245</v>
      </c>
      <c r="AC141" s="185">
        <f t="shared" ca="1" si="45"/>
        <v>7.8722062756183737</v>
      </c>
      <c r="AD141" s="185">
        <f t="shared" ca="1" si="45"/>
        <v>8.0826502614840976</v>
      </c>
      <c r="AE141" s="185">
        <f t="shared" ca="1" si="45"/>
        <v>8.3136811590105992</v>
      </c>
      <c r="AF141" s="185">
        <f t="shared" ca="1" si="45"/>
        <v>8.5607240989399269</v>
      </c>
      <c r="AG141" s="185">
        <f t="shared" ca="1" si="45"/>
        <v>8.8329288197879858</v>
      </c>
      <c r="AH141" s="185">
        <f t="shared" ca="1" si="45"/>
        <v>9.1131395618374569</v>
      </c>
      <c r="AI141" s="185">
        <f t="shared" ca="1" si="45"/>
        <v>9.4013563250883401</v>
      </c>
      <c r="AJ141" s="185">
        <f t="shared" ca="1" si="45"/>
        <v>9.6930042402826864</v>
      </c>
      <c r="AK141" s="185">
        <f t="shared" ca="1" si="45"/>
        <v>9.9938018939929325</v>
      </c>
      <c r="AL141" s="185">
        <f t="shared" ca="1" si="45"/>
        <v>10.310611590106008</v>
      </c>
      <c r="AM141" s="185">
        <f t="shared" ca="1" si="45"/>
        <v>12.009031802120141</v>
      </c>
      <c r="AN141" s="185">
        <f t="shared" ca="1" si="45"/>
        <v>14.089453597173144</v>
      </c>
      <c r="AO141" s="185">
        <f t="shared" ca="1" si="45"/>
        <v>17.804628673733887</v>
      </c>
      <c r="AP141" s="185">
        <f t="shared" ca="1" si="45"/>
        <v>21.583470680801021</v>
      </c>
    </row>
    <row r="142" spans="1:42">
      <c r="A142" s="57" t="str">
        <f>'[4]TS BYDem'!A81</f>
        <v/>
      </c>
      <c r="B142" s="185" t="s">
        <v>288</v>
      </c>
      <c r="C142" s="185" t="s">
        <v>137</v>
      </c>
      <c r="D142" s="185" t="str">
        <f>'[4]TS BYDem'!D81</f>
        <v>ICPE</v>
      </c>
      <c r="E142" s="185" t="s">
        <v>137</v>
      </c>
      <c r="F142" s="185" t="s">
        <v>137</v>
      </c>
      <c r="G142" s="185" t="s">
        <v>137</v>
      </c>
      <c r="H142" s="185" t="s">
        <v>137</v>
      </c>
      <c r="I142" s="185">
        <v>0</v>
      </c>
      <c r="J142" s="185">
        <f>INDEX('[4]TS BYDem'!$J$10:$J$203,MATCH(D142,'[4]TS BYDem'!$D$10:$D$203,0))</f>
        <v>1.6916889611268384</v>
      </c>
      <c r="K142" s="185">
        <f t="shared" ca="1" si="47"/>
        <v>1.7397392061881953</v>
      </c>
      <c r="L142" s="185">
        <f t="shared" ca="1" si="46"/>
        <v>1.7701710280603877</v>
      </c>
      <c r="M142" s="192">
        <f t="shared" si="43"/>
        <v>2.4599072000000004</v>
      </c>
      <c r="N142" s="192">
        <f t="shared" si="44"/>
        <v>2.4599072000000004</v>
      </c>
      <c r="O142" s="192">
        <f>INDEX('[4]TS BYDem'!$O$10:$O$203,MATCH(D142,'[4]TS BYDem'!$D$10:$D$203,0))</f>
        <v>2.4599072000000004</v>
      </c>
      <c r="P142" s="185">
        <f t="shared" ca="1" si="46"/>
        <v>2.4812032163957602</v>
      </c>
      <c r="Q142" s="185">
        <f t="shared" ca="1" si="46"/>
        <v>2.4755532528621913</v>
      </c>
      <c r="R142" s="185">
        <f t="shared" ca="1" si="46"/>
        <v>2.2760660788692584</v>
      </c>
      <c r="S142" s="185">
        <f t="shared" ca="1" si="46"/>
        <v>2.3364772274204952</v>
      </c>
      <c r="T142" s="185">
        <f t="shared" ca="1" si="46"/>
        <v>2.3912384124381632</v>
      </c>
      <c r="U142" s="185">
        <f t="shared" ca="1" si="46"/>
        <v>2.4429573093992936</v>
      </c>
      <c r="V142" s="185">
        <f t="shared" ca="1" si="46"/>
        <v>2.4925031434628981</v>
      </c>
      <c r="W142" s="185">
        <f t="shared" ca="1" si="46"/>
        <v>2.5463951033215553</v>
      </c>
      <c r="X142" s="185">
        <f t="shared" ca="1" si="46"/>
        <v>2.6150638908833925</v>
      </c>
      <c r="Y142" s="185">
        <f t="shared" ca="1" si="46"/>
        <v>2.6824288407067138</v>
      </c>
      <c r="Z142" s="185">
        <f t="shared" ca="1" si="46"/>
        <v>2.7515322408480571</v>
      </c>
      <c r="AA142" s="185">
        <f t="shared" ca="1" si="45"/>
        <v>2.8288932800000008</v>
      </c>
      <c r="AB142" s="185">
        <f t="shared" ca="1" si="45"/>
        <v>2.908861994628976</v>
      </c>
      <c r="AC142" s="185">
        <f t="shared" ca="1" si="45"/>
        <v>2.9914383847349826</v>
      </c>
      <c r="AD142" s="185">
        <f t="shared" ca="1" si="45"/>
        <v>3.0714070993639577</v>
      </c>
      <c r="AE142" s="185">
        <f t="shared" ca="1" si="45"/>
        <v>3.1591988404240285</v>
      </c>
      <c r="AF142" s="185">
        <f t="shared" ca="1" si="45"/>
        <v>3.253075157597173</v>
      </c>
      <c r="AG142" s="185">
        <f t="shared" ca="1" si="45"/>
        <v>3.3565129515194352</v>
      </c>
      <c r="AH142" s="185">
        <f t="shared" ca="1" si="45"/>
        <v>3.462993033498234</v>
      </c>
      <c r="AI142" s="185">
        <f t="shared" ca="1" si="45"/>
        <v>3.5725154035335693</v>
      </c>
      <c r="AJ142" s="185">
        <f t="shared" ca="1" si="45"/>
        <v>3.6833416113074211</v>
      </c>
      <c r="AK142" s="185">
        <f t="shared" ca="1" si="45"/>
        <v>3.7976447197173147</v>
      </c>
      <c r="AL142" s="185">
        <f t="shared" ca="1" si="45"/>
        <v>3.9180324042402832</v>
      </c>
      <c r="AM142" s="185">
        <f t="shared" ca="1" si="45"/>
        <v>4.5634320848056538</v>
      </c>
      <c r="AN142" s="185">
        <f t="shared" ca="1" si="45"/>
        <v>5.3539923669257945</v>
      </c>
      <c r="AO142" s="185">
        <f t="shared" ca="1" si="45"/>
        <v>6.7657588960188777</v>
      </c>
      <c r="AP142" s="185">
        <f t="shared" ca="1" si="45"/>
        <v>8.201718858704389</v>
      </c>
    </row>
    <row r="143" spans="1:42">
      <c r="A143" s="57" t="str">
        <f>'[4]TS BYDem'!A82</f>
        <v>*</v>
      </c>
      <c r="B143" s="185" t="s">
        <v>288</v>
      </c>
      <c r="C143" s="185" t="s">
        <v>137</v>
      </c>
      <c r="D143" s="185" t="str">
        <f>'[4]TS BYDem'!D82</f>
        <v xml:space="preserve"> </v>
      </c>
      <c r="E143" s="185" t="s">
        <v>137</v>
      </c>
      <c r="F143" s="185" t="s">
        <v>137</v>
      </c>
      <c r="G143" s="185" t="s">
        <v>137</v>
      </c>
      <c r="H143" s="185" t="s">
        <v>137</v>
      </c>
      <c r="I143" s="185">
        <v>0</v>
      </c>
      <c r="J143" s="185" t="str">
        <f>INDEX('[4]TS BYDem'!$J$10:$J$203,MATCH(D143,'[4]TS BYDem'!$D$10:$D$203,0))</f>
        <v/>
      </c>
      <c r="K143" s="185" t="e">
        <f t="shared" ca="1" si="47"/>
        <v>#VALUE!</v>
      </c>
      <c r="L143" s="185" t="e">
        <f t="shared" ca="1" si="46"/>
        <v>#VALUE!</v>
      </c>
      <c r="M143" s="185" t="e">
        <f t="shared" ca="1" si="46"/>
        <v>#VALUE!</v>
      </c>
      <c r="N143" s="185" t="e">
        <f t="shared" ca="1" si="46"/>
        <v>#VALUE!</v>
      </c>
      <c r="O143" s="185" t="e">
        <f t="shared" ca="1" si="46"/>
        <v>#VALUE!</v>
      </c>
      <c r="P143" s="185" t="e">
        <f t="shared" ca="1" si="46"/>
        <v>#VALUE!</v>
      </c>
      <c r="Q143" s="185" t="e">
        <f t="shared" ca="1" si="46"/>
        <v>#VALUE!</v>
      </c>
      <c r="R143" s="185" t="e">
        <f t="shared" ca="1" si="46"/>
        <v>#VALUE!</v>
      </c>
      <c r="S143" s="185" t="e">
        <f t="shared" ca="1" si="46"/>
        <v>#VALUE!</v>
      </c>
      <c r="T143" s="185" t="e">
        <f t="shared" ca="1" si="46"/>
        <v>#VALUE!</v>
      </c>
      <c r="U143" s="185" t="e">
        <f t="shared" ca="1" si="46"/>
        <v>#VALUE!</v>
      </c>
      <c r="V143" s="185" t="e">
        <f t="shared" ca="1" si="46"/>
        <v>#VALUE!</v>
      </c>
      <c r="W143" s="185" t="e">
        <f t="shared" ca="1" si="46"/>
        <v>#VALUE!</v>
      </c>
      <c r="X143" s="185" t="e">
        <f t="shared" ca="1" si="46"/>
        <v>#VALUE!</v>
      </c>
      <c r="Y143" s="185" t="e">
        <f t="shared" ca="1" si="46"/>
        <v>#VALUE!</v>
      </c>
      <c r="Z143" s="185" t="e">
        <f t="shared" ca="1" si="46"/>
        <v>#VALUE!</v>
      </c>
      <c r="AA143" s="185" t="e">
        <f t="shared" ca="1" si="45"/>
        <v>#VALUE!</v>
      </c>
      <c r="AB143" s="185" t="e">
        <f t="shared" ca="1" si="45"/>
        <v>#VALUE!</v>
      </c>
      <c r="AC143" s="185" t="e">
        <f t="shared" ca="1" si="45"/>
        <v>#VALUE!</v>
      </c>
      <c r="AD143" s="185" t="e">
        <f t="shared" ca="1" si="45"/>
        <v>#VALUE!</v>
      </c>
      <c r="AE143" s="185" t="e">
        <f t="shared" ca="1" si="45"/>
        <v>#VALUE!</v>
      </c>
      <c r="AF143" s="185" t="e">
        <f t="shared" ca="1" si="45"/>
        <v>#VALUE!</v>
      </c>
      <c r="AG143" s="185" t="e">
        <f t="shared" ca="1" si="45"/>
        <v>#VALUE!</v>
      </c>
      <c r="AH143" s="185" t="e">
        <f t="shared" ca="1" si="45"/>
        <v>#VALUE!</v>
      </c>
      <c r="AI143" s="185" t="e">
        <f t="shared" ca="1" si="45"/>
        <v>#VALUE!</v>
      </c>
      <c r="AJ143" s="185" t="e">
        <f t="shared" ca="1" si="45"/>
        <v>#VALUE!</v>
      </c>
      <c r="AK143" s="185" t="e">
        <f t="shared" ca="1" si="45"/>
        <v>#VALUE!</v>
      </c>
      <c r="AL143" s="185" t="e">
        <f t="shared" ca="1" si="45"/>
        <v>#VALUE!</v>
      </c>
      <c r="AM143" s="185" t="e">
        <f t="shared" ca="1" si="45"/>
        <v>#VALUE!</v>
      </c>
      <c r="AN143" s="185" t="e">
        <f t="shared" ca="1" si="45"/>
        <v>#VALUE!</v>
      </c>
      <c r="AO143" s="185" t="e">
        <f t="shared" ca="1" si="45"/>
        <v>#VALUE!</v>
      </c>
      <c r="AP143" s="185" t="e">
        <f t="shared" ca="1" si="45"/>
        <v>#VALUE!</v>
      </c>
    </row>
    <row r="144" spans="1:42">
      <c r="A144" s="57" t="str">
        <f>'[4]TS BYDem'!A83</f>
        <v/>
      </c>
      <c r="B144" s="185" t="s">
        <v>288</v>
      </c>
      <c r="C144" s="185" t="s">
        <v>137</v>
      </c>
      <c r="D144" s="185" t="str">
        <f>'[4]TS BYDem'!D83</f>
        <v>ICPS</v>
      </c>
      <c r="E144" s="185" t="s">
        <v>137</v>
      </c>
      <c r="F144" s="185" t="s">
        <v>137</v>
      </c>
      <c r="G144" s="185" t="s">
        <v>137</v>
      </c>
      <c r="H144" s="185" t="s">
        <v>137</v>
      </c>
      <c r="I144" s="185">
        <v>0</v>
      </c>
      <c r="J144" s="185">
        <f>INDEX('[4]TS BYDem'!$J$10:$J$203,MATCH(D144,'[4]TS BYDem'!$D$10:$D$203,0))</f>
        <v>27.288197120140854</v>
      </c>
      <c r="K144" s="185">
        <f t="shared" ca="1" si="47"/>
        <v>28.063283196266802</v>
      </c>
      <c r="L144" s="185">
        <f t="shared" ca="1" si="46"/>
        <v>28.554171044479897</v>
      </c>
      <c r="M144" s="192">
        <f t="shared" ref="M144" si="48">O144</f>
        <v>16.650368400000001</v>
      </c>
      <c r="N144" s="192">
        <f t="shared" ref="N144" si="49">O144</f>
        <v>16.650368400000001</v>
      </c>
      <c r="O144" s="192">
        <f>INDEX('[4]TS BYDem'!$O$10:$O$203,MATCH(D144,'[4]TS BYDem'!$D$10:$D$203,0))</f>
        <v>16.650368400000001</v>
      </c>
      <c r="P144" s="185">
        <f t="shared" ca="1" si="46"/>
        <v>16.794514698869261</v>
      </c>
      <c r="Q144" s="185">
        <f t="shared" ca="1" si="46"/>
        <v>16.756271803250886</v>
      </c>
      <c r="R144" s="185">
        <f t="shared" ca="1" si="46"/>
        <v>15.406003411802121</v>
      </c>
      <c r="S144" s="185">
        <f t="shared" ca="1" si="46"/>
        <v>15.814908218798587</v>
      </c>
      <c r="T144" s="185">
        <f t="shared" ca="1" si="46"/>
        <v>16.185570130176679</v>
      </c>
      <c r="U144" s="185">
        <f t="shared" ca="1" si="46"/>
        <v>16.535639713144874</v>
      </c>
      <c r="V144" s="185">
        <f t="shared" ca="1" si="46"/>
        <v>16.871000490106006</v>
      </c>
      <c r="W144" s="185">
        <f t="shared" ca="1" si="46"/>
        <v>17.23577887908127</v>
      </c>
      <c r="X144" s="185">
        <f t="shared" ca="1" si="46"/>
        <v>17.700577148904589</v>
      </c>
      <c r="Y144" s="185">
        <f t="shared" ca="1" si="46"/>
        <v>18.15655013512367</v>
      </c>
      <c r="Z144" s="185">
        <f t="shared" ca="1" si="46"/>
        <v>18.624290166148409</v>
      </c>
      <c r="AA144" s="185">
        <f t="shared" ca="1" si="45"/>
        <v>19.14792366</v>
      </c>
      <c r="AB144" s="185">
        <f t="shared" ca="1" si="45"/>
        <v>19.689207721060072</v>
      </c>
      <c r="AC144" s="185">
        <f t="shared" ca="1" si="45"/>
        <v>20.248142349328621</v>
      </c>
      <c r="AD144" s="185">
        <f t="shared" ca="1" si="45"/>
        <v>20.789426410388693</v>
      </c>
      <c r="AE144" s="185">
        <f t="shared" ca="1" si="45"/>
        <v>21.383662173074207</v>
      </c>
      <c r="AF144" s="185">
        <f t="shared" ca="1" si="45"/>
        <v>22.019082592579505</v>
      </c>
      <c r="AG144" s="185">
        <f t="shared" ca="1" si="45"/>
        <v>22.719221758515907</v>
      </c>
      <c r="AH144" s="185">
        <f t="shared" ca="1" si="45"/>
        <v>23.4399532528622</v>
      </c>
      <c r="AI144" s="185">
        <f t="shared" ca="1" si="45"/>
        <v>24.181277075618382</v>
      </c>
      <c r="AJ144" s="185">
        <f t="shared" ca="1" si="45"/>
        <v>24.931426181978807</v>
      </c>
      <c r="AK144" s="185">
        <f t="shared" ca="1" si="45"/>
        <v>25.705109377950535</v>
      </c>
      <c r="AL144" s="185">
        <f t="shared" ca="1" si="45"/>
        <v>26.519977230742057</v>
      </c>
      <c r="AM144" s="185">
        <f t="shared" ca="1" si="45"/>
        <v>30.888492614840995</v>
      </c>
      <c r="AN144" s="185">
        <f t="shared" ca="1" si="45"/>
        <v>36.239556240212018</v>
      </c>
      <c r="AO144" s="185">
        <f t="shared" ca="1" si="45"/>
        <v>45.795377209470189</v>
      </c>
      <c r="AP144" s="185">
        <f t="shared" ca="1" si="45"/>
        <v>55.514956218940149</v>
      </c>
    </row>
    <row r="145" spans="1:42">
      <c r="A145" s="57" t="str">
        <f>'[4]TS BYDem'!A84</f>
        <v>*</v>
      </c>
      <c r="B145" s="185" t="s">
        <v>288</v>
      </c>
      <c r="C145" s="185" t="s">
        <v>137</v>
      </c>
      <c r="D145" s="185" t="str">
        <f>'[4]TS BYDem'!D84</f>
        <v>ICPS</v>
      </c>
      <c r="E145" s="185" t="s">
        <v>137</v>
      </c>
      <c r="F145" s="185" t="s">
        <v>137</v>
      </c>
      <c r="G145" s="185" t="s">
        <v>137</v>
      </c>
      <c r="H145" s="185" t="s">
        <v>137</v>
      </c>
      <c r="I145" s="185">
        <v>0</v>
      </c>
      <c r="J145" s="185">
        <f>INDEX('[4]TS BYDem'!$J$10:$J$203,MATCH(D145,'[4]TS BYDem'!$D$10:$D$203,0))</f>
        <v>27.288197120140854</v>
      </c>
      <c r="K145" s="185">
        <f t="shared" ca="1" si="47"/>
        <v>28.063283196266802</v>
      </c>
      <c r="L145" s="185">
        <f t="shared" ca="1" si="46"/>
        <v>28.554171044479897</v>
      </c>
      <c r="M145" s="185">
        <f t="shared" ca="1" si="46"/>
        <v>28.797031348332695</v>
      </c>
      <c r="N145" s="185">
        <f t="shared" ca="1" si="46"/>
        <v>29.091564057260552</v>
      </c>
      <c r="O145" s="185">
        <f t="shared" ca="1" si="46"/>
        <v>29.246581272485745</v>
      </c>
      <c r="P145" s="185">
        <f t="shared" ca="1" si="46"/>
        <v>29.499776057353554</v>
      </c>
      <c r="Q145" s="185">
        <f t="shared" ca="1" si="46"/>
        <v>29.432601930755972</v>
      </c>
      <c r="R145" s="185">
        <f t="shared" ca="1" si="46"/>
        <v>27.060838537810572</v>
      </c>
      <c r="S145" s="185">
        <f t="shared" ca="1" si="46"/>
        <v>27.779084968353949</v>
      </c>
      <c r="T145" s="185">
        <f t="shared" ca="1" si="46"/>
        <v>28.430157272299745</v>
      </c>
      <c r="U145" s="185">
        <f t="shared" ca="1" si="46"/>
        <v>29.045058892692996</v>
      </c>
      <c r="V145" s="185">
        <f t="shared" ca="1" si="46"/>
        <v>29.634124310548717</v>
      </c>
      <c r="W145" s="185">
        <f t="shared" ca="1" si="46"/>
        <v>30.274862133479502</v>
      </c>
      <c r="X145" s="185">
        <f t="shared" ca="1" si="46"/>
        <v>31.091286133665498</v>
      </c>
      <c r="Y145" s="185">
        <f t="shared" ca="1" si="46"/>
        <v>31.892208412328976</v>
      </c>
      <c r="Z145" s="185">
        <f t="shared" ca="1" si="46"/>
        <v>32.713799653022484</v>
      </c>
      <c r="AA145" s="185">
        <f t="shared" ca="1" si="45"/>
        <v>33.633568463358614</v>
      </c>
      <c r="AB145" s="185">
        <f t="shared" ca="1" si="45"/>
        <v>34.584340716739774</v>
      </c>
      <c r="AC145" s="185">
        <f t="shared" ca="1" si="45"/>
        <v>35.566116413165972</v>
      </c>
      <c r="AD145" s="185">
        <f t="shared" ca="1" si="45"/>
        <v>36.516888666547132</v>
      </c>
      <c r="AE145" s="185">
        <f t="shared" ca="1" si="45"/>
        <v>37.560671249063411</v>
      </c>
      <c r="AF145" s="185">
        <f t="shared" ca="1" si="45"/>
        <v>38.676795198684772</v>
      </c>
      <c r="AG145" s="185">
        <f t="shared" ca="1" si="45"/>
        <v>39.906598439471281</v>
      </c>
      <c r="AH145" s="185">
        <f t="shared" ca="1" si="45"/>
        <v>41.172572363810332</v>
      </c>
      <c r="AI145" s="185">
        <f t="shared" ca="1" si="45"/>
        <v>42.474716971701923</v>
      </c>
      <c r="AJ145" s="185">
        <f t="shared" ca="1" si="45"/>
        <v>43.792363301116033</v>
      </c>
      <c r="AK145" s="185">
        <f t="shared" ca="1" si="45"/>
        <v>45.151347554590188</v>
      </c>
      <c r="AL145" s="185">
        <f t="shared" ca="1" si="45"/>
        <v>46.58267317516944</v>
      </c>
      <c r="AM145" s="185">
        <f t="shared" ca="1" si="45"/>
        <v>54.256025328816314</v>
      </c>
      <c r="AN145" s="185">
        <f t="shared" ca="1" si="45"/>
        <v>63.6552358119703</v>
      </c>
      <c r="AO145" s="185">
        <f t="shared" ca="1" si="45"/>
        <v>80.440155393853701</v>
      </c>
      <c r="AP145" s="185">
        <f t="shared" ca="1" si="45"/>
        <v>97.512718030654554</v>
      </c>
    </row>
    <row r="146" spans="1:42">
      <c r="A146" s="57" t="str">
        <f>'[4]TS BYDem'!A85</f>
        <v>*</v>
      </c>
      <c r="B146" s="185" t="s">
        <v>288</v>
      </c>
      <c r="C146" s="185" t="s">
        <v>137</v>
      </c>
      <c r="D146" s="185" t="str">
        <f>'[4]TS BYDem'!D85</f>
        <v>ICPS</v>
      </c>
      <c r="E146" s="185" t="s">
        <v>137</v>
      </c>
      <c r="F146" s="185" t="s">
        <v>137</v>
      </c>
      <c r="G146" s="185" t="s">
        <v>137</v>
      </c>
      <c r="H146" s="185" t="s">
        <v>137</v>
      </c>
      <c r="I146" s="185">
        <v>0</v>
      </c>
      <c r="J146" s="185">
        <f>INDEX('[4]TS BYDem'!$J$10:$J$203,MATCH(D146,'[4]TS BYDem'!$D$10:$D$203,0))</f>
        <v>27.288197120140854</v>
      </c>
      <c r="K146" s="185">
        <f t="shared" ca="1" si="47"/>
        <v>28.063283196266802</v>
      </c>
      <c r="L146" s="185">
        <f t="shared" ca="1" si="46"/>
        <v>28.554171044479897</v>
      </c>
      <c r="M146" s="185">
        <f t="shared" ca="1" si="46"/>
        <v>28.797031348332695</v>
      </c>
      <c r="N146" s="185">
        <f t="shared" ca="1" si="46"/>
        <v>29.091564057260552</v>
      </c>
      <c r="O146" s="185">
        <f t="shared" ca="1" si="46"/>
        <v>29.246581272485745</v>
      </c>
      <c r="P146" s="185">
        <f t="shared" ca="1" si="46"/>
        <v>29.499776057353554</v>
      </c>
      <c r="Q146" s="185">
        <f t="shared" ca="1" si="46"/>
        <v>29.432601930755972</v>
      </c>
      <c r="R146" s="185">
        <f t="shared" ca="1" si="46"/>
        <v>27.060838537810572</v>
      </c>
      <c r="S146" s="185">
        <f t="shared" ca="1" si="46"/>
        <v>27.779084968353949</v>
      </c>
      <c r="T146" s="185">
        <f t="shared" ca="1" si="46"/>
        <v>28.430157272299745</v>
      </c>
      <c r="U146" s="185">
        <f t="shared" ca="1" si="46"/>
        <v>29.045058892692996</v>
      </c>
      <c r="V146" s="185">
        <f t="shared" ca="1" si="46"/>
        <v>29.634124310548717</v>
      </c>
      <c r="W146" s="185">
        <f t="shared" ca="1" si="46"/>
        <v>30.274862133479502</v>
      </c>
      <c r="X146" s="185">
        <f t="shared" ca="1" si="46"/>
        <v>31.091286133665498</v>
      </c>
      <c r="Y146" s="185">
        <f t="shared" ca="1" si="46"/>
        <v>31.892208412328976</v>
      </c>
      <c r="Z146" s="185">
        <f t="shared" ca="1" si="46"/>
        <v>32.713799653022484</v>
      </c>
      <c r="AA146" s="185">
        <f t="shared" ca="1" si="45"/>
        <v>33.633568463358614</v>
      </c>
      <c r="AB146" s="185">
        <f t="shared" ca="1" si="45"/>
        <v>34.584340716739774</v>
      </c>
      <c r="AC146" s="185">
        <f t="shared" ca="1" si="45"/>
        <v>35.566116413165972</v>
      </c>
      <c r="AD146" s="185">
        <f t="shared" ca="1" si="45"/>
        <v>36.516888666547132</v>
      </c>
      <c r="AE146" s="185">
        <f t="shared" ca="1" si="45"/>
        <v>37.560671249063411</v>
      </c>
      <c r="AF146" s="185">
        <f t="shared" ca="1" si="45"/>
        <v>38.676795198684772</v>
      </c>
      <c r="AG146" s="185">
        <f t="shared" ca="1" si="45"/>
        <v>39.906598439471281</v>
      </c>
      <c r="AH146" s="185">
        <f t="shared" ca="1" si="45"/>
        <v>41.172572363810332</v>
      </c>
      <c r="AI146" s="185">
        <f t="shared" ca="1" si="45"/>
        <v>42.474716971701923</v>
      </c>
      <c r="AJ146" s="185">
        <f t="shared" ca="1" si="45"/>
        <v>43.792363301116033</v>
      </c>
      <c r="AK146" s="185">
        <f t="shared" ca="1" si="45"/>
        <v>45.151347554590188</v>
      </c>
      <c r="AL146" s="185">
        <f t="shared" ca="1" si="45"/>
        <v>46.58267317516944</v>
      </c>
      <c r="AM146" s="185">
        <f t="shared" ca="1" si="45"/>
        <v>54.256025328816314</v>
      </c>
      <c r="AN146" s="185">
        <f t="shared" ca="1" si="45"/>
        <v>63.6552358119703</v>
      </c>
      <c r="AO146" s="185">
        <f t="shared" ca="1" si="45"/>
        <v>80.440155393853701</v>
      </c>
      <c r="AP146" s="185">
        <f t="shared" ca="1" si="45"/>
        <v>97.512718030654554</v>
      </c>
    </row>
    <row r="147" spans="1:42">
      <c r="A147" s="57" t="str">
        <f>'[4]TS BYDem'!A86</f>
        <v>*</v>
      </c>
      <c r="B147" s="185" t="s">
        <v>288</v>
      </c>
      <c r="C147" s="185" t="s">
        <v>137</v>
      </c>
      <c r="D147" s="185" t="str">
        <f>'[4]TS BYDem'!D86</f>
        <v>ICPS</v>
      </c>
      <c r="E147" s="185" t="s">
        <v>137</v>
      </c>
      <c r="F147" s="185" t="s">
        <v>137</v>
      </c>
      <c r="G147" s="185" t="s">
        <v>137</v>
      </c>
      <c r="H147" s="185" t="s">
        <v>137</v>
      </c>
      <c r="I147" s="185">
        <v>0</v>
      </c>
      <c r="J147" s="185">
        <f>INDEX('[4]TS BYDem'!$J$10:$J$203,MATCH(D147,'[4]TS BYDem'!$D$10:$D$203,0))</f>
        <v>27.288197120140854</v>
      </c>
      <c r="K147" s="185">
        <f t="shared" ca="1" si="47"/>
        <v>28.063283196266802</v>
      </c>
      <c r="L147" s="185">
        <f t="shared" ca="1" si="46"/>
        <v>28.554171044479897</v>
      </c>
      <c r="M147" s="185">
        <f t="shared" ca="1" si="46"/>
        <v>28.797031348332695</v>
      </c>
      <c r="N147" s="185">
        <f t="shared" ca="1" si="46"/>
        <v>29.091564057260552</v>
      </c>
      <c r="O147" s="185">
        <f t="shared" ca="1" si="46"/>
        <v>29.246581272485745</v>
      </c>
      <c r="P147" s="185">
        <f t="shared" ca="1" si="46"/>
        <v>29.499776057353554</v>
      </c>
      <c r="Q147" s="185">
        <f t="shared" ca="1" si="46"/>
        <v>29.432601930755972</v>
      </c>
      <c r="R147" s="185">
        <f t="shared" ca="1" si="46"/>
        <v>27.060838537810572</v>
      </c>
      <c r="S147" s="185">
        <f t="shared" ca="1" si="46"/>
        <v>27.779084968353949</v>
      </c>
      <c r="T147" s="185">
        <f t="shared" ca="1" si="46"/>
        <v>28.430157272299745</v>
      </c>
      <c r="U147" s="185">
        <f t="shared" ca="1" si="46"/>
        <v>29.045058892692996</v>
      </c>
      <c r="V147" s="185">
        <f t="shared" ca="1" si="46"/>
        <v>29.634124310548717</v>
      </c>
      <c r="W147" s="185">
        <f t="shared" ca="1" si="46"/>
        <v>30.274862133479502</v>
      </c>
      <c r="X147" s="185">
        <f t="shared" ca="1" si="46"/>
        <v>31.091286133665498</v>
      </c>
      <c r="Y147" s="185">
        <f t="shared" ca="1" si="46"/>
        <v>31.892208412328976</v>
      </c>
      <c r="Z147" s="185">
        <f t="shared" ca="1" si="46"/>
        <v>32.713799653022484</v>
      </c>
      <c r="AA147" s="185">
        <f t="shared" ca="1" si="45"/>
        <v>33.633568463358614</v>
      </c>
      <c r="AB147" s="185">
        <f t="shared" ca="1" si="45"/>
        <v>34.584340716739774</v>
      </c>
      <c r="AC147" s="185">
        <f t="shared" ca="1" si="45"/>
        <v>35.566116413165972</v>
      </c>
      <c r="AD147" s="185">
        <f t="shared" ca="1" si="45"/>
        <v>36.516888666547132</v>
      </c>
      <c r="AE147" s="185">
        <f t="shared" ca="1" si="45"/>
        <v>37.560671249063411</v>
      </c>
      <c r="AF147" s="185">
        <f t="shared" ca="1" si="45"/>
        <v>38.676795198684772</v>
      </c>
      <c r="AG147" s="185">
        <f t="shared" ca="1" si="45"/>
        <v>39.906598439471281</v>
      </c>
      <c r="AH147" s="185">
        <f t="shared" ca="1" si="45"/>
        <v>41.172572363810332</v>
      </c>
      <c r="AI147" s="185">
        <f t="shared" ca="1" si="45"/>
        <v>42.474716971701923</v>
      </c>
      <c r="AJ147" s="185">
        <f t="shared" ca="1" si="45"/>
        <v>43.792363301116033</v>
      </c>
      <c r="AK147" s="185">
        <f t="shared" ca="1" si="45"/>
        <v>45.151347554590188</v>
      </c>
      <c r="AL147" s="185">
        <f t="shared" ca="1" si="45"/>
        <v>46.58267317516944</v>
      </c>
      <c r="AM147" s="185">
        <f t="shared" ca="1" si="45"/>
        <v>54.256025328816314</v>
      </c>
      <c r="AN147" s="185">
        <f t="shared" ca="1" si="45"/>
        <v>63.6552358119703</v>
      </c>
      <c r="AO147" s="185">
        <f t="shared" ca="1" si="45"/>
        <v>80.440155393853701</v>
      </c>
      <c r="AP147" s="185">
        <f t="shared" ca="1" si="45"/>
        <v>97.512718030654554</v>
      </c>
    </row>
    <row r="148" spans="1:42">
      <c r="A148" s="57" t="str">
        <f>'[4]TS BYDem'!A87</f>
        <v>*</v>
      </c>
      <c r="B148" s="185" t="s">
        <v>288</v>
      </c>
      <c r="C148" s="185" t="s">
        <v>137</v>
      </c>
      <c r="D148" s="185" t="str">
        <f>'[4]TS BYDem'!D87</f>
        <v>ICPS</v>
      </c>
      <c r="E148" s="185" t="s">
        <v>137</v>
      </c>
      <c r="F148" s="185" t="s">
        <v>137</v>
      </c>
      <c r="G148" s="185" t="s">
        <v>137</v>
      </c>
      <c r="H148" s="185" t="s">
        <v>137</v>
      </c>
      <c r="I148" s="185">
        <v>0</v>
      </c>
      <c r="J148" s="185">
        <f>INDEX('[4]TS BYDem'!$J$10:$J$203,MATCH(D148,'[4]TS BYDem'!$D$10:$D$203,0))</f>
        <v>27.288197120140854</v>
      </c>
      <c r="K148" s="185">
        <f t="shared" ca="1" si="47"/>
        <v>28.063283196266802</v>
      </c>
      <c r="L148" s="185">
        <f t="shared" ca="1" si="46"/>
        <v>28.554171044479897</v>
      </c>
      <c r="M148" s="185">
        <f t="shared" ca="1" si="46"/>
        <v>28.797031348332695</v>
      </c>
      <c r="N148" s="185">
        <f t="shared" ca="1" si="46"/>
        <v>29.091564057260552</v>
      </c>
      <c r="O148" s="185">
        <f t="shared" ca="1" si="46"/>
        <v>29.246581272485745</v>
      </c>
      <c r="P148" s="185">
        <f t="shared" ca="1" si="46"/>
        <v>29.499776057353554</v>
      </c>
      <c r="Q148" s="185">
        <f t="shared" ca="1" si="46"/>
        <v>29.432601930755972</v>
      </c>
      <c r="R148" s="185">
        <f t="shared" ca="1" si="46"/>
        <v>27.060838537810572</v>
      </c>
      <c r="S148" s="185">
        <f t="shared" ca="1" si="46"/>
        <v>27.779084968353949</v>
      </c>
      <c r="T148" s="185">
        <f t="shared" ca="1" si="46"/>
        <v>28.430157272299745</v>
      </c>
      <c r="U148" s="185">
        <f t="shared" ca="1" si="46"/>
        <v>29.045058892692996</v>
      </c>
      <c r="V148" s="185">
        <f t="shared" ca="1" si="46"/>
        <v>29.634124310548717</v>
      </c>
      <c r="W148" s="185">
        <f t="shared" ca="1" si="46"/>
        <v>30.274862133479502</v>
      </c>
      <c r="X148" s="185">
        <f t="shared" ca="1" si="46"/>
        <v>31.091286133665498</v>
      </c>
      <c r="Y148" s="185">
        <f t="shared" ca="1" si="46"/>
        <v>31.892208412328976</v>
      </c>
      <c r="Z148" s="185">
        <f t="shared" ca="1" si="46"/>
        <v>32.713799653022484</v>
      </c>
      <c r="AA148" s="185">
        <f t="shared" ca="1" si="45"/>
        <v>33.633568463358614</v>
      </c>
      <c r="AB148" s="185">
        <f t="shared" ca="1" si="45"/>
        <v>34.584340716739774</v>
      </c>
      <c r="AC148" s="185">
        <f t="shared" ca="1" si="45"/>
        <v>35.566116413165972</v>
      </c>
      <c r="AD148" s="185">
        <f t="shared" ca="1" si="45"/>
        <v>36.516888666547132</v>
      </c>
      <c r="AE148" s="185">
        <f t="shared" ca="1" si="45"/>
        <v>37.560671249063411</v>
      </c>
      <c r="AF148" s="185">
        <f t="shared" ca="1" si="45"/>
        <v>38.676795198684772</v>
      </c>
      <c r="AG148" s="185">
        <f t="shared" ca="1" si="45"/>
        <v>39.906598439471281</v>
      </c>
      <c r="AH148" s="185">
        <f t="shared" ca="1" si="45"/>
        <v>41.172572363810332</v>
      </c>
      <c r="AI148" s="185">
        <f t="shared" ca="1" si="45"/>
        <v>42.474716971701923</v>
      </c>
      <c r="AJ148" s="185">
        <f t="shared" ca="1" si="45"/>
        <v>43.792363301116033</v>
      </c>
      <c r="AK148" s="185">
        <f t="shared" ca="1" si="45"/>
        <v>45.151347554590188</v>
      </c>
      <c r="AL148" s="185">
        <f t="shared" ca="1" si="45"/>
        <v>46.58267317516944</v>
      </c>
      <c r="AM148" s="185">
        <f t="shared" ca="1" si="45"/>
        <v>54.256025328816314</v>
      </c>
      <c r="AN148" s="185">
        <f t="shared" ca="1" si="45"/>
        <v>63.6552358119703</v>
      </c>
      <c r="AO148" s="185">
        <f t="shared" ca="1" si="45"/>
        <v>80.440155393853701</v>
      </c>
      <c r="AP148" s="185">
        <f t="shared" ca="1" si="45"/>
        <v>97.512718030654554</v>
      </c>
    </row>
    <row r="149" spans="1:42">
      <c r="A149" s="57" t="str">
        <f>'[4]TS BYDem'!A88</f>
        <v>*</v>
      </c>
      <c r="B149" s="185" t="s">
        <v>288</v>
      </c>
      <c r="C149" s="185" t="s">
        <v>137</v>
      </c>
      <c r="D149" s="185" t="str">
        <f>'[4]TS BYDem'!D88</f>
        <v>ICPS</v>
      </c>
      <c r="E149" s="185" t="s">
        <v>137</v>
      </c>
      <c r="F149" s="185" t="s">
        <v>137</v>
      </c>
      <c r="G149" s="185" t="s">
        <v>137</v>
      </c>
      <c r="H149" s="185" t="s">
        <v>137</v>
      </c>
      <c r="I149" s="185">
        <v>0</v>
      </c>
      <c r="J149" s="185">
        <f>INDEX('[4]TS BYDem'!$J$10:$J$203,MATCH(D149,'[4]TS BYDem'!$D$10:$D$203,0))</f>
        <v>27.288197120140854</v>
      </c>
      <c r="K149" s="185">
        <f t="shared" ca="1" si="47"/>
        <v>28.063283196266802</v>
      </c>
      <c r="L149" s="185">
        <f t="shared" ca="1" si="46"/>
        <v>28.554171044479897</v>
      </c>
      <c r="M149" s="185">
        <f t="shared" ca="1" si="46"/>
        <v>28.797031348332695</v>
      </c>
      <c r="N149" s="185">
        <f t="shared" ca="1" si="46"/>
        <v>29.091564057260552</v>
      </c>
      <c r="O149" s="185">
        <f t="shared" ca="1" si="46"/>
        <v>29.246581272485745</v>
      </c>
      <c r="P149" s="185">
        <f t="shared" ca="1" si="46"/>
        <v>29.499776057353554</v>
      </c>
      <c r="Q149" s="185">
        <f t="shared" ca="1" si="46"/>
        <v>29.432601930755972</v>
      </c>
      <c r="R149" s="185">
        <f t="shared" ca="1" si="46"/>
        <v>27.060838537810572</v>
      </c>
      <c r="S149" s="185">
        <f t="shared" ca="1" si="46"/>
        <v>27.779084968353949</v>
      </c>
      <c r="T149" s="185">
        <f t="shared" ca="1" si="46"/>
        <v>28.430157272299745</v>
      </c>
      <c r="U149" s="185">
        <f t="shared" ca="1" si="46"/>
        <v>29.045058892692996</v>
      </c>
      <c r="V149" s="185">
        <f t="shared" ca="1" si="46"/>
        <v>29.634124310548717</v>
      </c>
      <c r="W149" s="185">
        <f t="shared" ca="1" si="46"/>
        <v>30.274862133479502</v>
      </c>
      <c r="X149" s="185">
        <f t="shared" ca="1" si="46"/>
        <v>31.091286133665498</v>
      </c>
      <c r="Y149" s="185">
        <f t="shared" ca="1" si="46"/>
        <v>31.892208412328976</v>
      </c>
      <c r="Z149" s="185">
        <f t="shared" ca="1" si="46"/>
        <v>32.713799653022484</v>
      </c>
      <c r="AA149" s="185">
        <f t="shared" ca="1" si="45"/>
        <v>33.633568463358614</v>
      </c>
      <c r="AB149" s="185">
        <f t="shared" ca="1" si="45"/>
        <v>34.584340716739774</v>
      </c>
      <c r="AC149" s="185">
        <f t="shared" ca="1" si="45"/>
        <v>35.566116413165972</v>
      </c>
      <c r="AD149" s="185">
        <f t="shared" ca="1" si="45"/>
        <v>36.516888666547132</v>
      </c>
      <c r="AE149" s="185">
        <f t="shared" ca="1" si="45"/>
        <v>37.560671249063411</v>
      </c>
      <c r="AF149" s="185">
        <f t="shared" ca="1" si="45"/>
        <v>38.676795198684772</v>
      </c>
      <c r="AG149" s="185">
        <f t="shared" ca="1" si="45"/>
        <v>39.906598439471281</v>
      </c>
      <c r="AH149" s="185">
        <f t="shared" ca="1" si="45"/>
        <v>41.172572363810332</v>
      </c>
      <c r="AI149" s="185">
        <f t="shared" ca="1" si="45"/>
        <v>42.474716971701923</v>
      </c>
      <c r="AJ149" s="185">
        <f t="shared" ca="1" si="45"/>
        <v>43.792363301116033</v>
      </c>
      <c r="AK149" s="185">
        <f t="shared" ca="1" si="45"/>
        <v>45.151347554590188</v>
      </c>
      <c r="AL149" s="185">
        <f t="shared" ca="1" si="45"/>
        <v>46.58267317516944</v>
      </c>
      <c r="AM149" s="185">
        <f t="shared" ca="1" si="45"/>
        <v>54.256025328816314</v>
      </c>
      <c r="AN149" s="185">
        <f t="shared" ca="1" si="45"/>
        <v>63.6552358119703</v>
      </c>
      <c r="AO149" s="185">
        <f t="shared" ca="1" si="45"/>
        <v>80.440155393853701</v>
      </c>
      <c r="AP149" s="185">
        <f t="shared" ca="1" si="45"/>
        <v>97.512718030654554</v>
      </c>
    </row>
    <row r="150" spans="1:42">
      <c r="A150" s="57" t="str">
        <f>'[4]TS BYDem'!A89</f>
        <v>*</v>
      </c>
      <c r="B150" s="185" t="s">
        <v>288</v>
      </c>
      <c r="C150" s="185" t="s">
        <v>137</v>
      </c>
      <c r="D150" s="185">
        <f>'[4]TS BYDem'!D89</f>
        <v>0</v>
      </c>
      <c r="E150" s="185" t="s">
        <v>137</v>
      </c>
      <c r="F150" s="185" t="s">
        <v>137</v>
      </c>
      <c r="G150" s="185" t="s">
        <v>137</v>
      </c>
      <c r="H150" s="185" t="s">
        <v>137</v>
      </c>
      <c r="I150" s="185">
        <v>0</v>
      </c>
      <c r="J150" s="185" t="str">
        <f>INDEX('[4]TS BYDem'!$J$10:$J$203,MATCH(D150,'[4]TS BYDem'!$D$10:$D$203,0))</f>
        <v/>
      </c>
      <c r="K150" s="185" t="e">
        <f t="shared" ca="1" si="47"/>
        <v>#VALUE!</v>
      </c>
      <c r="L150" s="185" t="e">
        <f t="shared" ca="1" si="46"/>
        <v>#VALUE!</v>
      </c>
      <c r="M150" s="185" t="e">
        <f t="shared" ca="1" si="46"/>
        <v>#VALUE!</v>
      </c>
      <c r="N150" s="185" t="e">
        <f t="shared" ca="1" si="46"/>
        <v>#VALUE!</v>
      </c>
      <c r="O150" s="185" t="e">
        <f t="shared" ca="1" si="46"/>
        <v>#VALUE!</v>
      </c>
      <c r="P150" s="185" t="e">
        <f t="shared" ca="1" si="46"/>
        <v>#VALUE!</v>
      </c>
      <c r="Q150" s="185" t="e">
        <f t="shared" ca="1" si="46"/>
        <v>#VALUE!</v>
      </c>
      <c r="R150" s="185" t="e">
        <f t="shared" ca="1" si="46"/>
        <v>#VALUE!</v>
      </c>
      <c r="S150" s="185" t="e">
        <f t="shared" ca="1" si="46"/>
        <v>#VALUE!</v>
      </c>
      <c r="T150" s="185" t="e">
        <f t="shared" ca="1" si="46"/>
        <v>#VALUE!</v>
      </c>
      <c r="U150" s="185" t="e">
        <f t="shared" ca="1" si="46"/>
        <v>#VALUE!</v>
      </c>
      <c r="V150" s="185" t="e">
        <f t="shared" ca="1" si="46"/>
        <v>#VALUE!</v>
      </c>
      <c r="W150" s="185" t="e">
        <f t="shared" ca="1" si="46"/>
        <v>#VALUE!</v>
      </c>
      <c r="X150" s="185" t="e">
        <f t="shared" ca="1" si="46"/>
        <v>#VALUE!</v>
      </c>
      <c r="Y150" s="185" t="e">
        <f t="shared" ca="1" si="46"/>
        <v>#VALUE!</v>
      </c>
      <c r="Z150" s="185" t="e">
        <f t="shared" ca="1" si="46"/>
        <v>#VALUE!</v>
      </c>
      <c r="AA150" s="185" t="e">
        <f t="shared" ref="AA150:AP153" ca="1" si="50">AA$133/Z$133*Z150</f>
        <v>#VALUE!</v>
      </c>
      <c r="AB150" s="185" t="e">
        <f t="shared" ca="1" si="50"/>
        <v>#VALUE!</v>
      </c>
      <c r="AC150" s="185" t="e">
        <f t="shared" ca="1" si="50"/>
        <v>#VALUE!</v>
      </c>
      <c r="AD150" s="185" t="e">
        <f t="shared" ca="1" si="50"/>
        <v>#VALUE!</v>
      </c>
      <c r="AE150" s="185" t="e">
        <f t="shared" ca="1" si="50"/>
        <v>#VALUE!</v>
      </c>
      <c r="AF150" s="185" t="e">
        <f t="shared" ca="1" si="50"/>
        <v>#VALUE!</v>
      </c>
      <c r="AG150" s="185" t="e">
        <f t="shared" ca="1" si="50"/>
        <v>#VALUE!</v>
      </c>
      <c r="AH150" s="185" t="e">
        <f t="shared" ca="1" si="50"/>
        <v>#VALUE!</v>
      </c>
      <c r="AI150" s="185" t="e">
        <f t="shared" ca="1" si="50"/>
        <v>#VALUE!</v>
      </c>
      <c r="AJ150" s="185" t="e">
        <f t="shared" ca="1" si="50"/>
        <v>#VALUE!</v>
      </c>
      <c r="AK150" s="185" t="e">
        <f t="shared" ca="1" si="50"/>
        <v>#VALUE!</v>
      </c>
      <c r="AL150" s="185" t="e">
        <f t="shared" ca="1" si="50"/>
        <v>#VALUE!</v>
      </c>
      <c r="AM150" s="185" t="e">
        <f t="shared" ca="1" si="50"/>
        <v>#VALUE!</v>
      </c>
      <c r="AN150" s="185" t="e">
        <f t="shared" ca="1" si="50"/>
        <v>#VALUE!</v>
      </c>
      <c r="AO150" s="185" t="e">
        <f t="shared" ca="1" si="50"/>
        <v>#VALUE!</v>
      </c>
      <c r="AP150" s="185" t="e">
        <f t="shared" ca="1" si="50"/>
        <v>#VALUE!</v>
      </c>
    </row>
    <row r="151" spans="1:42">
      <c r="A151" s="57" t="str">
        <f>'[4]TS BYDem'!A90</f>
        <v/>
      </c>
      <c r="B151" s="185" t="s">
        <v>288</v>
      </c>
      <c r="C151" s="185" t="s">
        <v>137</v>
      </c>
      <c r="D151" s="185" t="str">
        <f>'[4]TS BYDem'!D90</f>
        <v>ICPT</v>
      </c>
      <c r="E151" s="185" t="s">
        <v>137</v>
      </c>
      <c r="F151" s="185" t="s">
        <v>137</v>
      </c>
      <c r="G151" s="185" t="s">
        <v>137</v>
      </c>
      <c r="H151" s="185" t="s">
        <v>137</v>
      </c>
      <c r="I151" s="185">
        <v>0</v>
      </c>
      <c r="J151" s="185">
        <f>INDEX('[4]TS BYDem'!$J$10:$J$203,MATCH(D151,'[4]TS BYDem'!$D$10:$D$203,0))</f>
        <v>39.004000030517574</v>
      </c>
      <c r="K151" s="185">
        <f t="shared" ca="1" si="47"/>
        <v>40.11185839154345</v>
      </c>
      <c r="L151" s="185">
        <f t="shared" ca="1" si="47"/>
        <v>40.813502020193162</v>
      </c>
      <c r="M151" s="192">
        <f t="shared" ref="M151" si="51">O151</f>
        <v>28.64</v>
      </c>
      <c r="N151" s="192">
        <f t="shared" ref="N151" si="52">O151</f>
        <v>28.64</v>
      </c>
      <c r="O151" s="192">
        <f>INDEX('[4]TS BYDem'!$O$10:$O$203,MATCH(D151,'[4]TS BYDem'!$D$10:$D$203,0))</f>
        <v>28.64</v>
      </c>
      <c r="P151" s="185">
        <f t="shared" ref="P151:Z153" ca="1" si="53">P$133/O$133*O151</f>
        <v>28.887943462897528</v>
      </c>
      <c r="Q151" s="185">
        <f t="shared" ca="1" si="53"/>
        <v>28.822162544169615</v>
      </c>
      <c r="R151" s="185">
        <f t="shared" ca="1" si="53"/>
        <v>26.499590106007069</v>
      </c>
      <c r="S151" s="185">
        <f t="shared" ca="1" si="53"/>
        <v>27.202939929328625</v>
      </c>
      <c r="T151" s="185">
        <f t="shared" ca="1" si="53"/>
        <v>27.840508833922264</v>
      </c>
      <c r="U151" s="185">
        <f t="shared" ca="1" si="53"/>
        <v>28.442657243816257</v>
      </c>
      <c r="V151" s="185">
        <f t="shared" ca="1" si="53"/>
        <v>29.019505300353362</v>
      </c>
      <c r="W151" s="185">
        <f t="shared" ca="1" si="53"/>
        <v>29.646954063604245</v>
      </c>
      <c r="X151" s="185">
        <f t="shared" ca="1" si="53"/>
        <v>30.446445229681981</v>
      </c>
      <c r="Y151" s="185">
        <f t="shared" ca="1" si="53"/>
        <v>31.230756183745584</v>
      </c>
      <c r="Z151" s="185">
        <f t="shared" ca="1" si="53"/>
        <v>32.035307420494703</v>
      </c>
      <c r="AA151" s="185">
        <f t="shared" ca="1" si="50"/>
        <v>32.936000000000007</v>
      </c>
      <c r="AB151" s="185">
        <f t="shared" ca="1" si="50"/>
        <v>33.867053003533577</v>
      </c>
      <c r="AC151" s="185">
        <f t="shared" ca="1" si="50"/>
        <v>34.828466431095407</v>
      </c>
      <c r="AD151" s="185">
        <f t="shared" ca="1" si="50"/>
        <v>35.759519434628977</v>
      </c>
      <c r="AE151" s="185">
        <f t="shared" ca="1" si="50"/>
        <v>36.781653710247355</v>
      </c>
      <c r="AF151" s="185">
        <f t="shared" ca="1" si="50"/>
        <v>37.874628975265018</v>
      </c>
      <c r="AG151" s="185">
        <f t="shared" ca="1" si="50"/>
        <v>39.07892579505301</v>
      </c>
      <c r="AH151" s="185">
        <f t="shared" ca="1" si="50"/>
        <v>40.318643109540645</v>
      </c>
      <c r="AI151" s="185">
        <f t="shared" ca="1" si="50"/>
        <v>41.593780918727923</v>
      </c>
      <c r="AJ151" s="185">
        <f t="shared" ca="1" si="50"/>
        <v>42.884098939929338</v>
      </c>
      <c r="AK151" s="185">
        <f t="shared" ca="1" si="50"/>
        <v>44.214897526501773</v>
      </c>
      <c r="AL151" s="185">
        <f t="shared" ca="1" si="50"/>
        <v>45.616537102473508</v>
      </c>
      <c r="AM151" s="185">
        <f t="shared" ca="1" si="50"/>
        <v>53.130742049469973</v>
      </c>
      <c r="AN151" s="185">
        <f t="shared" ca="1" si="50"/>
        <v>62.335010600706724</v>
      </c>
      <c r="AO151" s="185">
        <f t="shared" ca="1" si="50"/>
        <v>78.771806831566934</v>
      </c>
      <c r="AP151" s="185">
        <f t="shared" ca="1" si="50"/>
        <v>95.490280329800143</v>
      </c>
    </row>
    <row r="152" spans="1:42">
      <c r="A152" s="57" t="str">
        <f>'[4]TS BYDem'!A91</f>
        <v>*</v>
      </c>
      <c r="B152" s="185" t="s">
        <v>288</v>
      </c>
      <c r="C152" s="185" t="s">
        <v>137</v>
      </c>
      <c r="D152" s="185" t="str">
        <f>'[4]TS BYDem'!D91</f>
        <v>Useful Energy Service</v>
      </c>
      <c r="E152" s="185" t="s">
        <v>137</v>
      </c>
      <c r="F152" s="185" t="s">
        <v>137</v>
      </c>
      <c r="G152" s="185" t="s">
        <v>137</v>
      </c>
      <c r="H152" s="185" t="s">
        <v>137</v>
      </c>
      <c r="I152" s="185">
        <v>0</v>
      </c>
      <c r="J152" s="185" t="str">
        <f>INDEX('[4]TS BYDem'!$J$10:$J$203,MATCH(D152,'[4]TS BYDem'!$D$10:$D$203,0))</f>
        <v/>
      </c>
      <c r="K152" s="185" t="e">
        <f t="shared" ca="1" si="47"/>
        <v>#VALUE!</v>
      </c>
      <c r="L152" s="185" t="e">
        <f t="shared" ca="1" si="47"/>
        <v>#VALUE!</v>
      </c>
      <c r="M152" s="185" t="e">
        <f t="shared" ca="1" si="47"/>
        <v>#VALUE!</v>
      </c>
      <c r="N152" s="185" t="e">
        <f t="shared" ca="1" si="47"/>
        <v>#VALUE!</v>
      </c>
      <c r="O152" s="185" t="e">
        <f t="shared" ca="1" si="47"/>
        <v>#VALUE!</v>
      </c>
      <c r="P152" s="185" t="e">
        <f t="shared" ca="1" si="53"/>
        <v>#VALUE!</v>
      </c>
      <c r="Q152" s="185" t="e">
        <f t="shared" ca="1" si="53"/>
        <v>#VALUE!</v>
      </c>
      <c r="R152" s="185" t="e">
        <f t="shared" ca="1" si="53"/>
        <v>#VALUE!</v>
      </c>
      <c r="S152" s="185" t="e">
        <f t="shared" ca="1" si="53"/>
        <v>#VALUE!</v>
      </c>
      <c r="T152" s="185" t="e">
        <f t="shared" ca="1" si="53"/>
        <v>#VALUE!</v>
      </c>
      <c r="U152" s="185" t="e">
        <f t="shared" ca="1" si="53"/>
        <v>#VALUE!</v>
      </c>
      <c r="V152" s="185" t="e">
        <f t="shared" ca="1" si="53"/>
        <v>#VALUE!</v>
      </c>
      <c r="W152" s="185" t="e">
        <f t="shared" ca="1" si="53"/>
        <v>#VALUE!</v>
      </c>
      <c r="X152" s="185" t="e">
        <f t="shared" ca="1" si="53"/>
        <v>#VALUE!</v>
      </c>
      <c r="Y152" s="185" t="e">
        <f t="shared" ca="1" si="53"/>
        <v>#VALUE!</v>
      </c>
      <c r="Z152" s="185" t="e">
        <f t="shared" ca="1" si="53"/>
        <v>#VALUE!</v>
      </c>
      <c r="AA152" s="185" t="e">
        <f t="shared" ca="1" si="50"/>
        <v>#VALUE!</v>
      </c>
      <c r="AB152" s="185" t="e">
        <f t="shared" ca="1" si="50"/>
        <v>#VALUE!</v>
      </c>
      <c r="AC152" s="185" t="e">
        <f t="shared" ca="1" si="50"/>
        <v>#VALUE!</v>
      </c>
      <c r="AD152" s="185" t="e">
        <f t="shared" ca="1" si="50"/>
        <v>#VALUE!</v>
      </c>
      <c r="AE152" s="185" t="e">
        <f t="shared" ca="1" si="50"/>
        <v>#VALUE!</v>
      </c>
      <c r="AF152" s="185" t="e">
        <f t="shared" ca="1" si="50"/>
        <v>#VALUE!</v>
      </c>
      <c r="AG152" s="185" t="e">
        <f t="shared" ca="1" si="50"/>
        <v>#VALUE!</v>
      </c>
      <c r="AH152" s="185" t="e">
        <f t="shared" ca="1" si="50"/>
        <v>#VALUE!</v>
      </c>
      <c r="AI152" s="185" t="e">
        <f t="shared" ca="1" si="50"/>
        <v>#VALUE!</v>
      </c>
      <c r="AJ152" s="185" t="e">
        <f t="shared" ca="1" si="50"/>
        <v>#VALUE!</v>
      </c>
      <c r="AK152" s="185" t="e">
        <f t="shared" ca="1" si="50"/>
        <v>#VALUE!</v>
      </c>
      <c r="AL152" s="185" t="e">
        <f t="shared" ca="1" si="50"/>
        <v>#VALUE!</v>
      </c>
      <c r="AM152" s="185" t="e">
        <f t="shared" ca="1" si="50"/>
        <v>#VALUE!</v>
      </c>
      <c r="AN152" s="185" t="e">
        <f t="shared" ca="1" si="50"/>
        <v>#VALUE!</v>
      </c>
      <c r="AO152" s="185" t="e">
        <f t="shared" ca="1" si="50"/>
        <v>#VALUE!</v>
      </c>
      <c r="AP152" s="185" t="e">
        <f t="shared" ca="1" si="50"/>
        <v>#VALUE!</v>
      </c>
    </row>
    <row r="153" spans="1:42">
      <c r="A153" s="57" t="str">
        <f>'[4]TS BYDem'!A92</f>
        <v>*</v>
      </c>
      <c r="B153" s="185" t="s">
        <v>288</v>
      </c>
      <c r="C153" s="185" t="s">
        <v>137</v>
      </c>
      <c r="D153" s="185">
        <f>'[4]TS BYDem'!D92</f>
        <v>0</v>
      </c>
      <c r="E153" s="185" t="s">
        <v>137</v>
      </c>
      <c r="F153" s="185" t="s">
        <v>137</v>
      </c>
      <c r="G153" s="185" t="s">
        <v>137</v>
      </c>
      <c r="H153" s="185" t="s">
        <v>137</v>
      </c>
      <c r="I153" s="185">
        <v>0</v>
      </c>
      <c r="J153" s="185" t="str">
        <f>INDEX('[4]TS BYDem'!$J$10:$J$203,MATCH(D153,'[4]TS BYDem'!$D$10:$D$203,0))</f>
        <v/>
      </c>
      <c r="K153" s="185" t="e">
        <f t="shared" ca="1" si="47"/>
        <v>#VALUE!</v>
      </c>
      <c r="L153" s="185" t="e">
        <f t="shared" ca="1" si="47"/>
        <v>#VALUE!</v>
      </c>
      <c r="M153" s="185" t="e">
        <f t="shared" ca="1" si="47"/>
        <v>#VALUE!</v>
      </c>
      <c r="N153" s="185" t="e">
        <f t="shared" ca="1" si="47"/>
        <v>#VALUE!</v>
      </c>
      <c r="O153" s="185" t="e">
        <f t="shared" ca="1" si="47"/>
        <v>#VALUE!</v>
      </c>
      <c r="P153" s="185" t="e">
        <f t="shared" ca="1" si="53"/>
        <v>#VALUE!</v>
      </c>
      <c r="Q153" s="185" t="e">
        <f t="shared" ca="1" si="53"/>
        <v>#VALUE!</v>
      </c>
      <c r="R153" s="185" t="e">
        <f t="shared" ca="1" si="53"/>
        <v>#VALUE!</v>
      </c>
      <c r="S153" s="185" t="e">
        <f t="shared" ca="1" si="53"/>
        <v>#VALUE!</v>
      </c>
      <c r="T153" s="185" t="e">
        <f t="shared" ca="1" si="53"/>
        <v>#VALUE!</v>
      </c>
      <c r="U153" s="185" t="e">
        <f t="shared" ca="1" si="53"/>
        <v>#VALUE!</v>
      </c>
      <c r="V153" s="185" t="e">
        <f t="shared" ca="1" si="53"/>
        <v>#VALUE!</v>
      </c>
      <c r="W153" s="185" t="e">
        <f t="shared" ca="1" si="53"/>
        <v>#VALUE!</v>
      </c>
      <c r="X153" s="185" t="e">
        <f t="shared" ca="1" si="53"/>
        <v>#VALUE!</v>
      </c>
      <c r="Y153" s="185" t="e">
        <f t="shared" ca="1" si="53"/>
        <v>#VALUE!</v>
      </c>
      <c r="Z153" s="185" t="e">
        <f t="shared" ca="1" si="53"/>
        <v>#VALUE!</v>
      </c>
      <c r="AA153" s="185" t="e">
        <f t="shared" ca="1" si="50"/>
        <v>#VALUE!</v>
      </c>
      <c r="AB153" s="185" t="e">
        <f t="shared" ca="1" si="50"/>
        <v>#VALUE!</v>
      </c>
      <c r="AC153" s="185" t="e">
        <f t="shared" ca="1" si="50"/>
        <v>#VALUE!</v>
      </c>
      <c r="AD153" s="185" t="e">
        <f t="shared" ca="1" si="50"/>
        <v>#VALUE!</v>
      </c>
      <c r="AE153" s="185" t="e">
        <f t="shared" ca="1" si="50"/>
        <v>#VALUE!</v>
      </c>
      <c r="AF153" s="185" t="e">
        <f t="shared" ca="1" si="50"/>
        <v>#VALUE!</v>
      </c>
      <c r="AG153" s="185" t="e">
        <f t="shared" ca="1" si="50"/>
        <v>#VALUE!</v>
      </c>
      <c r="AH153" s="185" t="e">
        <f t="shared" ca="1" si="50"/>
        <v>#VALUE!</v>
      </c>
      <c r="AI153" s="185" t="e">
        <f t="shared" ca="1" si="50"/>
        <v>#VALUE!</v>
      </c>
      <c r="AJ153" s="185" t="e">
        <f t="shared" ca="1" si="50"/>
        <v>#VALUE!</v>
      </c>
      <c r="AK153" s="185" t="e">
        <f t="shared" ca="1" si="50"/>
        <v>#VALUE!</v>
      </c>
      <c r="AL153" s="185" t="e">
        <f t="shared" ca="1" si="50"/>
        <v>#VALUE!</v>
      </c>
      <c r="AM153" s="185" t="e">
        <f t="shared" ca="1" si="50"/>
        <v>#VALUE!</v>
      </c>
      <c r="AN153" s="185" t="e">
        <f t="shared" ca="1" si="50"/>
        <v>#VALUE!</v>
      </c>
      <c r="AO153" s="185" t="e">
        <f t="shared" ca="1" si="50"/>
        <v>#VALUE!</v>
      </c>
      <c r="AP153" s="185" t="e">
        <f t="shared" ca="1" si="50"/>
        <v>#VALUE!</v>
      </c>
    </row>
    <row r="154" spans="1:42" s="5" customFormat="1">
      <c r="A154" s="57" t="str">
        <f>'[4]TS BYDem'!A89</f>
        <v>*</v>
      </c>
      <c r="B154" s="5">
        <f>B133+1</f>
        <v>5</v>
      </c>
      <c r="C154" s="3" t="str">
        <f ca="1">OFFSET($C$9,$B154,0)</f>
        <v>Precious &amp; Non-Ferrous metals</v>
      </c>
      <c r="D154" s="3" t="str">
        <f ca="1">OFFSET($B$9,$B154,0)</f>
        <v>NF</v>
      </c>
      <c r="J154" s="5">
        <f ca="1">SUMIF($B$10:$B$22,$D154,J$10:J$22)*SUMIF($B$10:$B$22,$D154,J$41:J$53)</f>
        <v>10.11</v>
      </c>
      <c r="K154" s="5">
        <f t="shared" ref="K154:AP154" ca="1" si="54">SUMIF($B$10:$B$22,$D154,K$10:K$22)*SUMIF($B$10:$B$22,$D154,K$41:K$53)</f>
        <v>8.43</v>
      </c>
      <c r="L154" s="5">
        <f t="shared" ca="1" si="54"/>
        <v>7.26</v>
      </c>
      <c r="M154" s="5">
        <f t="shared" ca="1" si="54"/>
        <v>6.85</v>
      </c>
      <c r="N154" s="5">
        <f t="shared" ca="1" si="54"/>
        <v>6.43</v>
      </c>
      <c r="O154" s="5">
        <f t="shared" ca="1" si="54"/>
        <v>5.96</v>
      </c>
      <c r="P154" s="5">
        <f t="shared" ca="1" si="54"/>
        <v>5.84</v>
      </c>
      <c r="Q154" s="5">
        <f t="shared" ca="1" si="54"/>
        <v>5.52</v>
      </c>
      <c r="R154" s="5">
        <f t="shared" ca="1" si="54"/>
        <v>4.53</v>
      </c>
      <c r="S154" s="5">
        <f t="shared" ca="1" si="54"/>
        <v>4.6900000000000004</v>
      </c>
      <c r="T154" s="5">
        <f t="shared" ca="1" si="54"/>
        <v>4.71</v>
      </c>
      <c r="U154" s="5">
        <f t="shared" ca="1" si="54"/>
        <v>4.74</v>
      </c>
      <c r="V154" s="5">
        <f t="shared" ca="1" si="54"/>
        <v>4.7699999999999996</v>
      </c>
      <c r="W154" s="5">
        <f t="shared" ca="1" si="54"/>
        <v>4.84</v>
      </c>
      <c r="X154" s="5">
        <f t="shared" ca="1" si="54"/>
        <v>5.01</v>
      </c>
      <c r="Y154" s="5">
        <f t="shared" ca="1" si="54"/>
        <v>5.21</v>
      </c>
      <c r="Z154" s="5">
        <f t="shared" ca="1" si="54"/>
        <v>5.45</v>
      </c>
      <c r="AA154" s="5">
        <f t="shared" ca="1" si="54"/>
        <v>5.64</v>
      </c>
      <c r="AB154" s="5">
        <f t="shared" ca="1" si="54"/>
        <v>5.88</v>
      </c>
      <c r="AC154" s="5">
        <f t="shared" ca="1" si="54"/>
        <v>6.08</v>
      </c>
      <c r="AD154" s="5">
        <f t="shared" ca="1" si="54"/>
        <v>6.21</v>
      </c>
      <c r="AE154" s="5">
        <f t="shared" ca="1" si="54"/>
        <v>6.36</v>
      </c>
      <c r="AF154" s="5">
        <f t="shared" ca="1" si="54"/>
        <v>6.52</v>
      </c>
      <c r="AG154" s="5">
        <f t="shared" ca="1" si="54"/>
        <v>6.66</v>
      </c>
      <c r="AH154" s="5">
        <f t="shared" ca="1" si="54"/>
        <v>6.83</v>
      </c>
      <c r="AI154" s="5">
        <f t="shared" ca="1" si="54"/>
        <v>7</v>
      </c>
      <c r="AJ154" s="5">
        <f t="shared" ca="1" si="54"/>
        <v>7.17</v>
      </c>
      <c r="AK154" s="5">
        <f t="shared" ca="1" si="54"/>
        <v>7.34</v>
      </c>
      <c r="AL154" s="5">
        <f t="shared" ca="1" si="54"/>
        <v>7.52</v>
      </c>
      <c r="AM154" s="5">
        <f t="shared" ca="1" si="54"/>
        <v>8.08</v>
      </c>
      <c r="AN154" s="5">
        <f t="shared" ca="1" si="54"/>
        <v>8.82</v>
      </c>
      <c r="AO154" s="5">
        <f t="shared" ca="1" si="54"/>
        <v>10.089999999999975</v>
      </c>
      <c r="AP154" s="5">
        <f t="shared" ca="1" si="54"/>
        <v>11.389999999999986</v>
      </c>
    </row>
    <row r="155" spans="1:42">
      <c r="A155" s="57" t="str">
        <f>'[4]TS BYDem'!A94</f>
        <v/>
      </c>
      <c r="B155" s="185" t="s">
        <v>288</v>
      </c>
      <c r="C155" s="185" t="s">
        <v>137</v>
      </c>
      <c r="D155" s="185" t="str">
        <f>'[4]TS BYDem'!D94</f>
        <v>INFK</v>
      </c>
      <c r="E155" s="185" t="s">
        <v>137</v>
      </c>
      <c r="F155" s="185" t="s">
        <v>137</v>
      </c>
      <c r="G155" s="185" t="s">
        <v>137</v>
      </c>
      <c r="H155" s="185" t="s">
        <v>137</v>
      </c>
      <c r="I155" s="185">
        <v>0</v>
      </c>
      <c r="J155" s="185">
        <f>INDEX('[4]TS BYDem'!$J$10:$J$203,MATCH(D155,'[4]TS BYDem'!$D$10:$D$203,0))</f>
        <v>0.66789588210349726</v>
      </c>
      <c r="K155" s="185">
        <f ca="1">K$154/J$154*J155</f>
        <v>0.55691021623466685</v>
      </c>
      <c r="L155" s="185">
        <f t="shared" ref="L155:AP164" ca="1" si="55">L$154/K$154*K155</f>
        <v>0.47961662750458856</v>
      </c>
      <c r="M155" s="192">
        <f t="shared" ref="M155:M163" si="56">O155</f>
        <v>0.16707000000000002</v>
      </c>
      <c r="N155" s="192">
        <f t="shared" ref="N155:N163" si="57">O155</f>
        <v>0.16707000000000002</v>
      </c>
      <c r="O155" s="192">
        <f>INDEX('[4]TS BYDem'!$O$10:$O$203,MATCH(D155,'[4]TS BYDem'!$D$10:$D$203,0))</f>
        <v>0.16707000000000002</v>
      </c>
      <c r="P155" s="185">
        <f t="shared" ca="1" si="55"/>
        <v>0.16370617449664432</v>
      </c>
      <c r="Q155" s="185">
        <f t="shared" ca="1" si="55"/>
        <v>0.15473597315436244</v>
      </c>
      <c r="R155" s="185">
        <f t="shared" ca="1" si="55"/>
        <v>0.12698441275167788</v>
      </c>
      <c r="S155" s="185">
        <f t="shared" ca="1" si="55"/>
        <v>0.13146951342281882</v>
      </c>
      <c r="T155" s="185">
        <f t="shared" ca="1" si="55"/>
        <v>0.13203015100671142</v>
      </c>
      <c r="U155" s="185">
        <f t="shared" ca="1" si="55"/>
        <v>0.13287110738255034</v>
      </c>
      <c r="V155" s="185">
        <f t="shared" ca="1" si="55"/>
        <v>0.13371206375838923</v>
      </c>
      <c r="W155" s="185">
        <f t="shared" ca="1" si="55"/>
        <v>0.13567429530201341</v>
      </c>
      <c r="X155" s="185">
        <f t="shared" ca="1" si="55"/>
        <v>0.14043971476510067</v>
      </c>
      <c r="Y155" s="185">
        <f t="shared" ca="1" si="55"/>
        <v>0.14604609060402685</v>
      </c>
      <c r="Z155" s="185">
        <f t="shared" ca="1" si="55"/>
        <v>0.15277374161073826</v>
      </c>
      <c r="AA155" s="185">
        <f t="shared" ca="1" si="55"/>
        <v>0.15809979865771809</v>
      </c>
      <c r="AB155" s="185">
        <f t="shared" ca="1" si="55"/>
        <v>0.1648274496644295</v>
      </c>
      <c r="AC155" s="185">
        <f t="shared" ca="1" si="55"/>
        <v>0.17043382550335567</v>
      </c>
      <c r="AD155" s="185">
        <f t="shared" ca="1" si="55"/>
        <v>0.17407796979865767</v>
      </c>
      <c r="AE155" s="185">
        <f t="shared" ca="1" si="55"/>
        <v>0.17828275167785232</v>
      </c>
      <c r="AF155" s="185">
        <f t="shared" ca="1" si="55"/>
        <v>0.1827678523489932</v>
      </c>
      <c r="AG155" s="185">
        <f t="shared" ca="1" si="55"/>
        <v>0.18669231543624154</v>
      </c>
      <c r="AH155" s="185">
        <f t="shared" ca="1" si="55"/>
        <v>0.1914577348993288</v>
      </c>
      <c r="AI155" s="185">
        <f t="shared" ca="1" si="55"/>
        <v>0.19622315436241602</v>
      </c>
      <c r="AJ155" s="185">
        <f t="shared" ca="1" si="55"/>
        <v>0.20098857382550325</v>
      </c>
      <c r="AK155" s="185">
        <f t="shared" ca="1" si="55"/>
        <v>0.20575399328859048</v>
      </c>
      <c r="AL155" s="185">
        <f t="shared" ca="1" si="55"/>
        <v>0.21079973154362405</v>
      </c>
      <c r="AM155" s="185">
        <f t="shared" ca="1" si="55"/>
        <v>0.22649758389261734</v>
      </c>
      <c r="AN155" s="185">
        <f t="shared" ca="1" si="55"/>
        <v>0.24724117449664421</v>
      </c>
      <c r="AO155" s="185">
        <f t="shared" ca="1" si="55"/>
        <v>0.28284166107382469</v>
      </c>
      <c r="AP155" s="185">
        <f t="shared" ca="1" si="55"/>
        <v>0.31928310402684512</v>
      </c>
    </row>
    <row r="156" spans="1:42">
      <c r="A156" s="57" t="str">
        <f>'[4]TS BYDem'!A95</f>
        <v/>
      </c>
      <c r="B156" s="185" t="s">
        <v>288</v>
      </c>
      <c r="C156" s="185" t="s">
        <v>137</v>
      </c>
      <c r="D156" s="185" t="str">
        <f>'[4]TS BYDem'!D95</f>
        <v>INFA</v>
      </c>
      <c r="E156" s="185" t="s">
        <v>137</v>
      </c>
      <c r="F156" s="185" t="s">
        <v>137</v>
      </c>
      <c r="G156" s="185" t="s">
        <v>137</v>
      </c>
      <c r="H156" s="185" t="s">
        <v>137</v>
      </c>
      <c r="I156" s="185">
        <v>0</v>
      </c>
      <c r="J156" s="185">
        <f>INDEX('[4]TS BYDem'!$J$10:$J$203,MATCH(D156,'[4]TS BYDem'!$D$10:$D$203,0))</f>
        <v>0</v>
      </c>
      <c r="K156" s="185">
        <f t="shared" ref="K156:N172" ca="1" si="58">K$154/J$154*J156</f>
        <v>0</v>
      </c>
      <c r="L156" s="185">
        <f t="shared" ca="1" si="55"/>
        <v>0</v>
      </c>
      <c r="M156" s="192">
        <f t="shared" si="56"/>
        <v>0</v>
      </c>
      <c r="N156" s="192">
        <f t="shared" si="57"/>
        <v>0</v>
      </c>
      <c r="O156" s="192">
        <f>INDEX('[4]TS BYDem'!$O$10:$O$203,MATCH(D156,'[4]TS BYDem'!$D$10:$D$203,0))</f>
        <v>0</v>
      </c>
      <c r="P156" s="185">
        <f t="shared" ca="1" si="55"/>
        <v>0</v>
      </c>
      <c r="Q156" s="185">
        <f t="shared" ca="1" si="55"/>
        <v>0</v>
      </c>
      <c r="R156" s="185">
        <f t="shared" ca="1" si="55"/>
        <v>0</v>
      </c>
      <c r="S156" s="185">
        <f t="shared" ca="1" si="55"/>
        <v>0</v>
      </c>
      <c r="T156" s="185">
        <f t="shared" ca="1" si="55"/>
        <v>0</v>
      </c>
      <c r="U156" s="185">
        <f t="shared" ca="1" si="55"/>
        <v>0</v>
      </c>
      <c r="V156" s="185">
        <f t="shared" ca="1" si="55"/>
        <v>0</v>
      </c>
      <c r="W156" s="185">
        <f t="shared" ca="1" si="55"/>
        <v>0</v>
      </c>
      <c r="X156" s="185">
        <f t="shared" ca="1" si="55"/>
        <v>0</v>
      </c>
      <c r="Y156" s="185">
        <f t="shared" ca="1" si="55"/>
        <v>0</v>
      </c>
      <c r="Z156" s="185">
        <f t="shared" ca="1" si="55"/>
        <v>0</v>
      </c>
      <c r="AA156" s="185">
        <f t="shared" ca="1" si="55"/>
        <v>0</v>
      </c>
      <c r="AB156" s="185">
        <f t="shared" ca="1" si="55"/>
        <v>0</v>
      </c>
      <c r="AC156" s="185">
        <f t="shared" ca="1" si="55"/>
        <v>0</v>
      </c>
      <c r="AD156" s="185">
        <f t="shared" ca="1" si="55"/>
        <v>0</v>
      </c>
      <c r="AE156" s="185">
        <f t="shared" ca="1" si="55"/>
        <v>0</v>
      </c>
      <c r="AF156" s="185">
        <f t="shared" ca="1" si="55"/>
        <v>0</v>
      </c>
      <c r="AG156" s="185">
        <f t="shared" ca="1" si="55"/>
        <v>0</v>
      </c>
      <c r="AH156" s="185">
        <f t="shared" ca="1" si="55"/>
        <v>0</v>
      </c>
      <c r="AI156" s="185">
        <f t="shared" ca="1" si="55"/>
        <v>0</v>
      </c>
      <c r="AJ156" s="185">
        <f t="shared" ca="1" si="55"/>
        <v>0</v>
      </c>
      <c r="AK156" s="185">
        <f t="shared" ca="1" si="55"/>
        <v>0</v>
      </c>
      <c r="AL156" s="185">
        <f t="shared" ca="1" si="55"/>
        <v>0</v>
      </c>
      <c r="AM156" s="185">
        <f t="shared" ca="1" si="55"/>
        <v>0</v>
      </c>
      <c r="AN156" s="185">
        <f t="shared" ca="1" si="55"/>
        <v>0</v>
      </c>
      <c r="AO156" s="185">
        <f t="shared" ca="1" si="55"/>
        <v>0</v>
      </c>
      <c r="AP156" s="185">
        <f t="shared" ca="1" si="55"/>
        <v>0</v>
      </c>
    </row>
    <row r="157" spans="1:42">
      <c r="A157" s="57" t="str">
        <f>'[4]TS BYDem'!A96</f>
        <v/>
      </c>
      <c r="B157" s="185" t="s">
        <v>288</v>
      </c>
      <c r="C157" s="185" t="s">
        <v>137</v>
      </c>
      <c r="D157" s="185" t="str">
        <f>'[4]TS BYDem'!D96</f>
        <v>INFL</v>
      </c>
      <c r="E157" s="185" t="s">
        <v>137</v>
      </c>
      <c r="F157" s="185" t="s">
        <v>137</v>
      </c>
      <c r="G157" s="185" t="s">
        <v>137</v>
      </c>
      <c r="H157" s="185" t="s">
        <v>137</v>
      </c>
      <c r="I157" s="185">
        <v>0</v>
      </c>
      <c r="J157" s="185">
        <f>INDEX('[4]TS BYDem'!$J$10:$J$203,MATCH(D157,'[4]TS BYDem'!$D$10:$D$203,0))</f>
        <v>0.20036876463104916</v>
      </c>
      <c r="K157" s="185">
        <f t="shared" ca="1" si="58"/>
        <v>0.16707306487040005</v>
      </c>
      <c r="L157" s="185">
        <f t="shared" ca="1" si="55"/>
        <v>0.14388498825137655</v>
      </c>
      <c r="M157" s="192">
        <f t="shared" si="56"/>
        <v>5.0121000000000006E-2</v>
      </c>
      <c r="N157" s="192">
        <f t="shared" si="57"/>
        <v>5.0121000000000006E-2</v>
      </c>
      <c r="O157" s="192">
        <f>INDEX('[4]TS BYDem'!$O$10:$O$203,MATCH(D157,'[4]TS BYDem'!$D$10:$D$203,0))</f>
        <v>5.0121000000000006E-2</v>
      </c>
      <c r="P157" s="185">
        <f t="shared" ca="1" si="55"/>
        <v>4.9111852348993297E-2</v>
      </c>
      <c r="Q157" s="185">
        <f t="shared" ca="1" si="55"/>
        <v>4.6420791946308736E-2</v>
      </c>
      <c r="R157" s="185">
        <f t="shared" ca="1" si="55"/>
        <v>3.8095323825503367E-2</v>
      </c>
      <c r="S157" s="185">
        <f t="shared" ca="1" si="55"/>
        <v>3.9440854026845648E-2</v>
      </c>
      <c r="T157" s="185">
        <f t="shared" ca="1" si="55"/>
        <v>3.9609045302013431E-2</v>
      </c>
      <c r="U157" s="185">
        <f t="shared" ca="1" si="55"/>
        <v>3.9861332214765108E-2</v>
      </c>
      <c r="V157" s="185">
        <f t="shared" ca="1" si="55"/>
        <v>4.0113619127516778E-2</v>
      </c>
      <c r="W157" s="185">
        <f t="shared" ca="1" si="55"/>
        <v>4.0702288590604034E-2</v>
      </c>
      <c r="X157" s="185">
        <f t="shared" ca="1" si="55"/>
        <v>4.2131914429530209E-2</v>
      </c>
      <c r="Y157" s="185">
        <f t="shared" ca="1" si="55"/>
        <v>4.3813827181208062E-2</v>
      </c>
      <c r="Z157" s="185">
        <f t="shared" ca="1" si="55"/>
        <v>4.583212248322148E-2</v>
      </c>
      <c r="AA157" s="185">
        <f t="shared" ca="1" si="55"/>
        <v>4.7429939597315431E-2</v>
      </c>
      <c r="AB157" s="185">
        <f t="shared" ca="1" si="55"/>
        <v>4.9448234899328855E-2</v>
      </c>
      <c r="AC157" s="185">
        <f t="shared" ca="1" si="55"/>
        <v>5.1130147651006708E-2</v>
      </c>
      <c r="AD157" s="185">
        <f t="shared" ca="1" si="55"/>
        <v>5.2223390939597311E-2</v>
      </c>
      <c r="AE157" s="185">
        <f t="shared" ca="1" si="55"/>
        <v>5.3484825503355704E-2</v>
      </c>
      <c r="AF157" s="185">
        <f t="shared" ca="1" si="55"/>
        <v>5.4830355704697971E-2</v>
      </c>
      <c r="AG157" s="185">
        <f t="shared" ca="1" si="55"/>
        <v>5.6007694630872476E-2</v>
      </c>
      <c r="AH157" s="185">
        <f t="shared" ca="1" si="55"/>
        <v>5.7437320469798651E-2</v>
      </c>
      <c r="AI157" s="185">
        <f t="shared" ca="1" si="55"/>
        <v>5.886694630872482E-2</v>
      </c>
      <c r="AJ157" s="185">
        <f t="shared" ca="1" si="55"/>
        <v>6.0296572147650988E-2</v>
      </c>
      <c r="AK157" s="185">
        <f t="shared" ca="1" si="55"/>
        <v>6.1726197986577157E-2</v>
      </c>
      <c r="AL157" s="185">
        <f t="shared" ca="1" si="55"/>
        <v>6.3239919463087227E-2</v>
      </c>
      <c r="AM157" s="185">
        <f t="shared" ca="1" si="55"/>
        <v>6.794927516778522E-2</v>
      </c>
      <c r="AN157" s="185">
        <f t="shared" ca="1" si="55"/>
        <v>7.4172352348993276E-2</v>
      </c>
      <c r="AO157" s="185">
        <f t="shared" ca="1" si="55"/>
        <v>8.4852498322147432E-2</v>
      </c>
      <c r="AP157" s="185">
        <f t="shared" ca="1" si="55"/>
        <v>9.5784931208053564E-2</v>
      </c>
    </row>
    <row r="158" spans="1:42">
      <c r="A158" s="57" t="str">
        <f>'[4]TS BYDem'!A97</f>
        <v/>
      </c>
      <c r="B158" s="185" t="s">
        <v>288</v>
      </c>
      <c r="C158" s="185" t="s">
        <v>137</v>
      </c>
      <c r="D158" s="185" t="str">
        <f>'[4]TS BYDem'!D97</f>
        <v>INFC</v>
      </c>
      <c r="E158" s="185" t="s">
        <v>137</v>
      </c>
      <c r="F158" s="185" t="s">
        <v>137</v>
      </c>
      <c r="G158" s="185" t="s">
        <v>137</v>
      </c>
      <c r="H158" s="185" t="s">
        <v>137</v>
      </c>
      <c r="I158" s="185">
        <v>0</v>
      </c>
      <c r="J158" s="185">
        <f>INDEX('[4]TS BYDem'!$J$10:$J$203,MATCH(D158,'[4]TS BYDem'!$D$10:$D$203,0))</f>
        <v>0</v>
      </c>
      <c r="K158" s="185">
        <f t="shared" ca="1" si="58"/>
        <v>0</v>
      </c>
      <c r="L158" s="185">
        <f t="shared" ca="1" si="55"/>
        <v>0</v>
      </c>
      <c r="M158" s="192">
        <f t="shared" si="56"/>
        <v>0</v>
      </c>
      <c r="N158" s="192">
        <f t="shared" si="57"/>
        <v>0</v>
      </c>
      <c r="O158" s="192">
        <f>INDEX('[4]TS BYDem'!$O$10:$O$203,MATCH(D158,'[4]TS BYDem'!$D$10:$D$203,0))</f>
        <v>0</v>
      </c>
      <c r="P158" s="185">
        <f t="shared" ca="1" si="55"/>
        <v>0</v>
      </c>
      <c r="Q158" s="185">
        <f t="shared" ca="1" si="55"/>
        <v>0</v>
      </c>
      <c r="R158" s="185">
        <f t="shared" ca="1" si="55"/>
        <v>0</v>
      </c>
      <c r="S158" s="185">
        <f t="shared" ca="1" si="55"/>
        <v>0</v>
      </c>
      <c r="T158" s="185">
        <f t="shared" ca="1" si="55"/>
        <v>0</v>
      </c>
      <c r="U158" s="185">
        <f t="shared" ca="1" si="55"/>
        <v>0</v>
      </c>
      <c r="V158" s="185">
        <f t="shared" ca="1" si="55"/>
        <v>0</v>
      </c>
      <c r="W158" s="185">
        <f t="shared" ca="1" si="55"/>
        <v>0</v>
      </c>
      <c r="X158" s="185">
        <f t="shared" ca="1" si="55"/>
        <v>0</v>
      </c>
      <c r="Y158" s="185">
        <f t="shared" ca="1" si="55"/>
        <v>0</v>
      </c>
      <c r="Z158" s="185">
        <f t="shared" ca="1" si="55"/>
        <v>0</v>
      </c>
      <c r="AA158" s="185">
        <f t="shared" ca="1" si="55"/>
        <v>0</v>
      </c>
      <c r="AB158" s="185">
        <f t="shared" ca="1" si="55"/>
        <v>0</v>
      </c>
      <c r="AC158" s="185">
        <f t="shared" ca="1" si="55"/>
        <v>0</v>
      </c>
      <c r="AD158" s="185">
        <f t="shared" ca="1" si="55"/>
        <v>0</v>
      </c>
      <c r="AE158" s="185">
        <f t="shared" ca="1" si="55"/>
        <v>0</v>
      </c>
      <c r="AF158" s="185">
        <f t="shared" ca="1" si="55"/>
        <v>0</v>
      </c>
      <c r="AG158" s="185">
        <f t="shared" ca="1" si="55"/>
        <v>0</v>
      </c>
      <c r="AH158" s="185">
        <f t="shared" ca="1" si="55"/>
        <v>0</v>
      </c>
      <c r="AI158" s="185">
        <f t="shared" ca="1" si="55"/>
        <v>0</v>
      </c>
      <c r="AJ158" s="185">
        <f t="shared" ca="1" si="55"/>
        <v>0</v>
      </c>
      <c r="AK158" s="185">
        <f t="shared" ca="1" si="55"/>
        <v>0</v>
      </c>
      <c r="AL158" s="185">
        <f t="shared" ca="1" si="55"/>
        <v>0</v>
      </c>
      <c r="AM158" s="185">
        <f t="shared" ca="1" si="55"/>
        <v>0</v>
      </c>
      <c r="AN158" s="185">
        <f t="shared" ca="1" si="55"/>
        <v>0</v>
      </c>
      <c r="AO158" s="185">
        <f t="shared" ca="1" si="55"/>
        <v>0</v>
      </c>
      <c r="AP158" s="185">
        <f t="shared" ca="1" si="55"/>
        <v>0</v>
      </c>
    </row>
    <row r="159" spans="1:42">
      <c r="A159" s="57" t="str">
        <f>'[4]TS BYDem'!A98</f>
        <v/>
      </c>
      <c r="B159" s="185" t="s">
        <v>288</v>
      </c>
      <c r="C159" s="185" t="s">
        <v>137</v>
      </c>
      <c r="D159" s="185" t="str">
        <f>'[4]TS BYDem'!D98</f>
        <v>INFH</v>
      </c>
      <c r="E159" s="185" t="s">
        <v>137</v>
      </c>
      <c r="F159" s="185" t="s">
        <v>137</v>
      </c>
      <c r="G159" s="185" t="s">
        <v>137</v>
      </c>
      <c r="H159" s="185" t="s">
        <v>137</v>
      </c>
      <c r="I159" s="185">
        <v>0</v>
      </c>
      <c r="J159" s="185">
        <f>INDEX('[4]TS BYDem'!$J$10:$J$203,MATCH(D159,'[4]TS BYDem'!$D$10:$D$203,0))</f>
        <v>0.60110629389314751</v>
      </c>
      <c r="K159" s="185">
        <f t="shared" ca="1" si="58"/>
        <v>0.50121919461120013</v>
      </c>
      <c r="L159" s="185">
        <f t="shared" ca="1" si="55"/>
        <v>0.43165496475412962</v>
      </c>
      <c r="M159" s="192">
        <f t="shared" si="56"/>
        <v>0.15036300000000002</v>
      </c>
      <c r="N159" s="192">
        <f t="shared" si="57"/>
        <v>0.15036300000000002</v>
      </c>
      <c r="O159" s="192">
        <f>INDEX('[4]TS BYDem'!$O$10:$O$203,MATCH(D159,'[4]TS BYDem'!$D$10:$D$203,0))</f>
        <v>0.15036300000000002</v>
      </c>
      <c r="P159" s="185">
        <f t="shared" ca="1" si="55"/>
        <v>0.1473355570469799</v>
      </c>
      <c r="Q159" s="185">
        <f t="shared" ca="1" si="55"/>
        <v>0.1392623758389262</v>
      </c>
      <c r="R159" s="185">
        <f t="shared" ca="1" si="55"/>
        <v>0.1142859714765101</v>
      </c>
      <c r="S159" s="185">
        <f t="shared" ca="1" si="55"/>
        <v>0.11832256208053693</v>
      </c>
      <c r="T159" s="185">
        <f t="shared" ca="1" si="55"/>
        <v>0.11882713590604027</v>
      </c>
      <c r="U159" s="185">
        <f t="shared" ca="1" si="55"/>
        <v>0.11958399664429531</v>
      </c>
      <c r="V159" s="185">
        <f t="shared" ca="1" si="55"/>
        <v>0.12034085738255032</v>
      </c>
      <c r="W159" s="185">
        <f t="shared" ca="1" si="55"/>
        <v>0.12210686577181208</v>
      </c>
      <c r="X159" s="185">
        <f t="shared" ca="1" si="55"/>
        <v>0.1263957432885906</v>
      </c>
      <c r="Y159" s="185">
        <f t="shared" ca="1" si="55"/>
        <v>0.13144148154362414</v>
      </c>
      <c r="Z159" s="185">
        <f t="shared" ca="1" si="55"/>
        <v>0.1374963674496644</v>
      </c>
      <c r="AA159" s="185">
        <f t="shared" ca="1" si="55"/>
        <v>0.14228981879194624</v>
      </c>
      <c r="AB159" s="185">
        <f t="shared" ca="1" si="55"/>
        <v>0.14834470469798652</v>
      </c>
      <c r="AC159" s="185">
        <f t="shared" ca="1" si="55"/>
        <v>0.1533904429530201</v>
      </c>
      <c r="AD159" s="185">
        <f t="shared" ca="1" si="55"/>
        <v>0.15667017281879189</v>
      </c>
      <c r="AE159" s="185">
        <f t="shared" ca="1" si="55"/>
        <v>0.16045447651006708</v>
      </c>
      <c r="AF159" s="185">
        <f t="shared" ca="1" si="55"/>
        <v>0.16449106711409389</v>
      </c>
      <c r="AG159" s="185">
        <f t="shared" ca="1" si="55"/>
        <v>0.16802308389261739</v>
      </c>
      <c r="AH159" s="185">
        <f t="shared" ca="1" si="55"/>
        <v>0.17231196140939592</v>
      </c>
      <c r="AI159" s="185">
        <f t="shared" ca="1" si="55"/>
        <v>0.17660083892617442</v>
      </c>
      <c r="AJ159" s="185">
        <f t="shared" ca="1" si="55"/>
        <v>0.18088971644295293</v>
      </c>
      <c r="AK159" s="185">
        <f t="shared" ca="1" si="55"/>
        <v>0.18517859395973144</v>
      </c>
      <c r="AL159" s="185">
        <f t="shared" ca="1" si="55"/>
        <v>0.18971975838926164</v>
      </c>
      <c r="AM159" s="185">
        <f t="shared" ca="1" si="55"/>
        <v>0.20384782550335559</v>
      </c>
      <c r="AN159" s="185">
        <f t="shared" ca="1" si="55"/>
        <v>0.22251705704697974</v>
      </c>
      <c r="AO159" s="185">
        <f t="shared" ca="1" si="55"/>
        <v>0.2545574949664422</v>
      </c>
      <c r="AP159" s="185">
        <f t="shared" ca="1" si="55"/>
        <v>0.28735479362416055</v>
      </c>
    </row>
    <row r="160" spans="1:42">
      <c r="A160" s="57" t="str">
        <f>'[4]TS BYDem'!A99</f>
        <v/>
      </c>
      <c r="B160" s="185" t="s">
        <v>288</v>
      </c>
      <c r="C160" s="185" t="s">
        <v>137</v>
      </c>
      <c r="D160" s="185" t="str">
        <f>'[4]TS BYDem'!D99</f>
        <v>INFP</v>
      </c>
      <c r="E160" s="185" t="s">
        <v>137</v>
      </c>
      <c r="F160" s="185" t="s">
        <v>137</v>
      </c>
      <c r="G160" s="185" t="s">
        <v>137</v>
      </c>
      <c r="H160" s="185" t="s">
        <v>137</v>
      </c>
      <c r="I160" s="185">
        <v>0</v>
      </c>
      <c r="J160" s="185">
        <f>INDEX('[4]TS BYDem'!$J$10:$J$203,MATCH(D160,'[4]TS BYDem'!$D$10:$D$203,0))</f>
        <v>0</v>
      </c>
      <c r="K160" s="185">
        <f t="shared" ca="1" si="58"/>
        <v>0</v>
      </c>
      <c r="L160" s="185">
        <f t="shared" ca="1" si="55"/>
        <v>0</v>
      </c>
      <c r="M160" s="192">
        <f t="shared" si="56"/>
        <v>0</v>
      </c>
      <c r="N160" s="192">
        <f t="shared" si="57"/>
        <v>0</v>
      </c>
      <c r="O160" s="192">
        <f>INDEX('[4]TS BYDem'!$O$10:$O$203,MATCH(D160,'[4]TS BYDem'!$D$10:$D$203,0))</f>
        <v>0</v>
      </c>
      <c r="P160" s="185">
        <f t="shared" ca="1" si="55"/>
        <v>0</v>
      </c>
      <c r="Q160" s="185">
        <f t="shared" ca="1" si="55"/>
        <v>0</v>
      </c>
      <c r="R160" s="185">
        <f t="shared" ca="1" si="55"/>
        <v>0</v>
      </c>
      <c r="S160" s="185">
        <f t="shared" ca="1" si="55"/>
        <v>0</v>
      </c>
      <c r="T160" s="185">
        <f t="shared" ca="1" si="55"/>
        <v>0</v>
      </c>
      <c r="U160" s="185">
        <f t="shared" ca="1" si="55"/>
        <v>0</v>
      </c>
      <c r="V160" s="185">
        <f t="shared" ca="1" si="55"/>
        <v>0</v>
      </c>
      <c r="W160" s="185">
        <f t="shared" ca="1" si="55"/>
        <v>0</v>
      </c>
      <c r="X160" s="185">
        <f t="shared" ca="1" si="55"/>
        <v>0</v>
      </c>
      <c r="Y160" s="185">
        <f t="shared" ca="1" si="55"/>
        <v>0</v>
      </c>
      <c r="Z160" s="185">
        <f t="shared" ca="1" si="55"/>
        <v>0</v>
      </c>
      <c r="AA160" s="185">
        <f t="shared" ca="1" si="55"/>
        <v>0</v>
      </c>
      <c r="AB160" s="185">
        <f t="shared" ca="1" si="55"/>
        <v>0</v>
      </c>
      <c r="AC160" s="185">
        <f t="shared" ca="1" si="55"/>
        <v>0</v>
      </c>
      <c r="AD160" s="185">
        <f t="shared" ca="1" si="55"/>
        <v>0</v>
      </c>
      <c r="AE160" s="185">
        <f t="shared" ca="1" si="55"/>
        <v>0</v>
      </c>
      <c r="AF160" s="185">
        <f t="shared" ca="1" si="55"/>
        <v>0</v>
      </c>
      <c r="AG160" s="185">
        <f t="shared" ca="1" si="55"/>
        <v>0</v>
      </c>
      <c r="AH160" s="185">
        <f t="shared" ca="1" si="55"/>
        <v>0</v>
      </c>
      <c r="AI160" s="185">
        <f t="shared" ca="1" si="55"/>
        <v>0</v>
      </c>
      <c r="AJ160" s="185">
        <f t="shared" ca="1" si="55"/>
        <v>0</v>
      </c>
      <c r="AK160" s="185">
        <f t="shared" ca="1" si="55"/>
        <v>0</v>
      </c>
      <c r="AL160" s="185">
        <f t="shared" ca="1" si="55"/>
        <v>0</v>
      </c>
      <c r="AM160" s="185">
        <f t="shared" ca="1" si="55"/>
        <v>0</v>
      </c>
      <c r="AN160" s="185">
        <f t="shared" ca="1" si="55"/>
        <v>0</v>
      </c>
      <c r="AO160" s="185">
        <f t="shared" ca="1" si="55"/>
        <v>0</v>
      </c>
      <c r="AP160" s="185">
        <f t="shared" ca="1" si="55"/>
        <v>0</v>
      </c>
    </row>
    <row r="161" spans="1:42">
      <c r="A161" s="57" t="str">
        <f>'[4]TS BYDem'!A100</f>
        <v/>
      </c>
      <c r="B161" s="185" t="s">
        <v>288</v>
      </c>
      <c r="C161" s="185" t="s">
        <v>137</v>
      </c>
      <c r="D161" s="185" t="str">
        <f>'[4]TS BYDem'!D100</f>
        <v>INFF</v>
      </c>
      <c r="E161" s="185" t="s">
        <v>137</v>
      </c>
      <c r="F161" s="185" t="s">
        <v>137</v>
      </c>
      <c r="G161" s="185" t="s">
        <v>137</v>
      </c>
      <c r="H161" s="185" t="s">
        <v>137</v>
      </c>
      <c r="I161" s="185">
        <v>0</v>
      </c>
      <c r="J161" s="185">
        <f>INDEX('[4]TS BYDem'!$J$10:$J$203,MATCH(D161,'[4]TS BYDem'!$D$10:$D$203,0))</f>
        <v>0</v>
      </c>
      <c r="K161" s="185">
        <f t="shared" ca="1" si="58"/>
        <v>0</v>
      </c>
      <c r="L161" s="185">
        <f t="shared" ca="1" si="55"/>
        <v>0</v>
      </c>
      <c r="M161" s="192">
        <f t="shared" si="56"/>
        <v>0</v>
      </c>
      <c r="N161" s="192">
        <f t="shared" si="57"/>
        <v>0</v>
      </c>
      <c r="O161" s="192">
        <f>INDEX('[4]TS BYDem'!$O$10:$O$203,MATCH(D161,'[4]TS BYDem'!$D$10:$D$203,0))</f>
        <v>0</v>
      </c>
      <c r="P161" s="185">
        <f t="shared" ca="1" si="55"/>
        <v>0</v>
      </c>
      <c r="Q161" s="185">
        <f t="shared" ca="1" si="55"/>
        <v>0</v>
      </c>
      <c r="R161" s="185">
        <f t="shared" ca="1" si="55"/>
        <v>0</v>
      </c>
      <c r="S161" s="185">
        <f t="shared" ca="1" si="55"/>
        <v>0</v>
      </c>
      <c r="T161" s="185">
        <f t="shared" ca="1" si="55"/>
        <v>0</v>
      </c>
      <c r="U161" s="185">
        <f t="shared" ca="1" si="55"/>
        <v>0</v>
      </c>
      <c r="V161" s="185">
        <f t="shared" ca="1" si="55"/>
        <v>0</v>
      </c>
      <c r="W161" s="185">
        <f t="shared" ca="1" si="55"/>
        <v>0</v>
      </c>
      <c r="X161" s="185">
        <f t="shared" ca="1" si="55"/>
        <v>0</v>
      </c>
      <c r="Y161" s="185">
        <f t="shared" ca="1" si="55"/>
        <v>0</v>
      </c>
      <c r="Z161" s="185">
        <f t="shared" ca="1" si="55"/>
        <v>0</v>
      </c>
      <c r="AA161" s="185">
        <f t="shared" ca="1" si="55"/>
        <v>0</v>
      </c>
      <c r="AB161" s="185">
        <f t="shared" ca="1" si="55"/>
        <v>0</v>
      </c>
      <c r="AC161" s="185">
        <f t="shared" ca="1" si="55"/>
        <v>0</v>
      </c>
      <c r="AD161" s="185">
        <f t="shared" ca="1" si="55"/>
        <v>0</v>
      </c>
      <c r="AE161" s="185">
        <f t="shared" ca="1" si="55"/>
        <v>0</v>
      </c>
      <c r="AF161" s="185">
        <f t="shared" ca="1" si="55"/>
        <v>0</v>
      </c>
      <c r="AG161" s="185">
        <f t="shared" ca="1" si="55"/>
        <v>0</v>
      </c>
      <c r="AH161" s="185">
        <f t="shared" ca="1" si="55"/>
        <v>0</v>
      </c>
      <c r="AI161" s="185">
        <f t="shared" ca="1" si="55"/>
        <v>0</v>
      </c>
      <c r="AJ161" s="185">
        <f t="shared" ca="1" si="55"/>
        <v>0</v>
      </c>
      <c r="AK161" s="185">
        <f t="shared" ca="1" si="55"/>
        <v>0</v>
      </c>
      <c r="AL161" s="185">
        <f t="shared" ca="1" si="55"/>
        <v>0</v>
      </c>
      <c r="AM161" s="185">
        <f t="shared" ca="1" si="55"/>
        <v>0</v>
      </c>
      <c r="AN161" s="185">
        <f t="shared" ca="1" si="55"/>
        <v>0</v>
      </c>
      <c r="AO161" s="185">
        <f t="shared" ca="1" si="55"/>
        <v>0</v>
      </c>
      <c r="AP161" s="185">
        <f t="shared" ca="1" si="55"/>
        <v>0</v>
      </c>
    </row>
    <row r="162" spans="1:42">
      <c r="A162" s="57" t="str">
        <f>'[4]TS BYDem'!A101</f>
        <v/>
      </c>
      <c r="B162" s="185" t="s">
        <v>288</v>
      </c>
      <c r="C162" s="185" t="s">
        <v>137</v>
      </c>
      <c r="D162" s="185" t="str">
        <f>'[4]TS BYDem'!D101</f>
        <v>INFO</v>
      </c>
      <c r="E162" s="185" t="s">
        <v>137</v>
      </c>
      <c r="F162" s="185" t="s">
        <v>137</v>
      </c>
      <c r="G162" s="185" t="s">
        <v>137</v>
      </c>
      <c r="H162" s="185" t="s">
        <v>137</v>
      </c>
      <c r="I162" s="185">
        <v>0</v>
      </c>
      <c r="J162" s="185">
        <f>INDEX('[4]TS BYDem'!$J$10:$J$203,MATCH(D162,'[4]TS BYDem'!$D$10:$D$203,0))</f>
        <v>3.7402169397795855</v>
      </c>
      <c r="K162" s="185">
        <f t="shared" ca="1" si="58"/>
        <v>3.1186972109141351</v>
      </c>
      <c r="L162" s="185">
        <f t="shared" ca="1" si="55"/>
        <v>2.6858531140256963</v>
      </c>
      <c r="M162" s="192">
        <f t="shared" si="56"/>
        <v>0.9355920000000002</v>
      </c>
      <c r="N162" s="192">
        <f t="shared" si="57"/>
        <v>0.9355920000000002</v>
      </c>
      <c r="O162" s="192">
        <f>INDEX('[4]TS BYDem'!$O$10:$O$203,MATCH(D162,'[4]TS BYDem'!$D$10:$D$203,0))</f>
        <v>0.9355920000000002</v>
      </c>
      <c r="P162" s="185">
        <f t="shared" ca="1" si="55"/>
        <v>0.91675457718120823</v>
      </c>
      <c r="Q162" s="185">
        <f t="shared" ca="1" si="55"/>
        <v>0.86652144966442968</v>
      </c>
      <c r="R162" s="185">
        <f t="shared" ca="1" si="55"/>
        <v>0.71111271140939614</v>
      </c>
      <c r="S162" s="185">
        <f t="shared" ca="1" si="55"/>
        <v>0.73622927516778536</v>
      </c>
      <c r="T162" s="185">
        <f t="shared" ca="1" si="55"/>
        <v>0.73936884563758398</v>
      </c>
      <c r="U162" s="185">
        <f t="shared" ca="1" si="55"/>
        <v>0.74407820134228198</v>
      </c>
      <c r="V162" s="185">
        <f t="shared" ca="1" si="55"/>
        <v>0.74878755704697986</v>
      </c>
      <c r="W162" s="185">
        <f t="shared" ca="1" si="55"/>
        <v>0.75977605369127532</v>
      </c>
      <c r="X162" s="185">
        <f t="shared" ca="1" si="55"/>
        <v>0.78646240268456391</v>
      </c>
      <c r="Y162" s="185">
        <f t="shared" ca="1" si="55"/>
        <v>0.81785810738255049</v>
      </c>
      <c r="Z162" s="185">
        <f t="shared" ca="1" si="55"/>
        <v>0.85553295302013432</v>
      </c>
      <c r="AA162" s="185">
        <f t="shared" ca="1" si="55"/>
        <v>0.88535887248322143</v>
      </c>
      <c r="AB162" s="185">
        <f t="shared" ca="1" si="55"/>
        <v>0.92303371812080537</v>
      </c>
      <c r="AC162" s="185">
        <f t="shared" ca="1" si="55"/>
        <v>0.95442942281879195</v>
      </c>
      <c r="AD162" s="185">
        <f t="shared" ca="1" si="55"/>
        <v>0.97483663087248318</v>
      </c>
      <c r="AE162" s="185">
        <f t="shared" ca="1" si="55"/>
        <v>0.99838340939597325</v>
      </c>
      <c r="AF162" s="185">
        <f t="shared" ca="1" si="55"/>
        <v>1.0234999731543624</v>
      </c>
      <c r="AG162" s="185">
        <f t="shared" ca="1" si="55"/>
        <v>1.0454769664429531</v>
      </c>
      <c r="AH162" s="185">
        <f t="shared" ca="1" si="55"/>
        <v>1.0721633154362418</v>
      </c>
      <c r="AI162" s="185">
        <f t="shared" ca="1" si="55"/>
        <v>1.0988496644295302</v>
      </c>
      <c r="AJ162" s="185">
        <f t="shared" ca="1" si="55"/>
        <v>1.1255360134228187</v>
      </c>
      <c r="AK162" s="185">
        <f t="shared" ca="1" si="55"/>
        <v>1.1522223624161072</v>
      </c>
      <c r="AL162" s="185">
        <f t="shared" ca="1" si="55"/>
        <v>1.1804784966442952</v>
      </c>
      <c r="AM162" s="185">
        <f t="shared" ca="1" si="55"/>
        <v>1.2683864697986575</v>
      </c>
      <c r="AN162" s="185">
        <f t="shared" ca="1" si="55"/>
        <v>1.3845505771812079</v>
      </c>
      <c r="AO162" s="185">
        <f t="shared" ca="1" si="55"/>
        <v>1.5839133020134188</v>
      </c>
      <c r="AP162" s="185">
        <f t="shared" ca="1" si="55"/>
        <v>1.7879853825503333</v>
      </c>
    </row>
    <row r="163" spans="1:42">
      <c r="A163" s="57" t="str">
        <f>'[4]TS BYDem'!A102</f>
        <v/>
      </c>
      <c r="B163" s="185" t="s">
        <v>288</v>
      </c>
      <c r="C163" s="185" t="s">
        <v>137</v>
      </c>
      <c r="D163" s="185" t="str">
        <f>'[4]TS BYDem'!D102</f>
        <v>INFE</v>
      </c>
      <c r="E163" s="185" t="s">
        <v>137</v>
      </c>
      <c r="F163" s="185" t="s">
        <v>137</v>
      </c>
      <c r="G163" s="185" t="s">
        <v>137</v>
      </c>
      <c r="H163" s="185" t="s">
        <v>137</v>
      </c>
      <c r="I163" s="185">
        <v>0</v>
      </c>
      <c r="J163" s="185">
        <f>INDEX('[4]TS BYDem'!$J$10:$J$203,MATCH(D163,'[4]TS BYDem'!$D$10:$D$203,0))</f>
        <v>45.684078335879221</v>
      </c>
      <c r="K163" s="185">
        <f t="shared" ca="1" si="58"/>
        <v>38.092658790451225</v>
      </c>
      <c r="L163" s="185">
        <f t="shared" ca="1" si="55"/>
        <v>32.805777321313869</v>
      </c>
      <c r="M163" s="192">
        <f t="shared" si="56"/>
        <v>11.427588</v>
      </c>
      <c r="N163" s="192">
        <f t="shared" si="57"/>
        <v>11.427588</v>
      </c>
      <c r="O163" s="192">
        <f>INDEX('[4]TS BYDem'!$O$10:$O$203,MATCH(D163,'[4]TS BYDem'!$D$10:$D$203,0))</f>
        <v>11.427588</v>
      </c>
      <c r="P163" s="185">
        <f t="shared" ca="1" si="55"/>
        <v>11.197502335570471</v>
      </c>
      <c r="Q163" s="185">
        <f t="shared" ca="1" si="55"/>
        <v>10.583940563758391</v>
      </c>
      <c r="R163" s="185">
        <f t="shared" ca="1" si="55"/>
        <v>8.6857338322147672</v>
      </c>
      <c r="S163" s="185">
        <f t="shared" ca="1" si="55"/>
        <v>8.9925147181208072</v>
      </c>
      <c r="T163" s="185">
        <f t="shared" ca="1" si="55"/>
        <v>9.0308623288590617</v>
      </c>
      <c r="U163" s="185">
        <f t="shared" ca="1" si="55"/>
        <v>9.0883837449664444</v>
      </c>
      <c r="V163" s="185">
        <f t="shared" ca="1" si="55"/>
        <v>9.1459051610738253</v>
      </c>
      <c r="W163" s="185">
        <f t="shared" ca="1" si="55"/>
        <v>9.2801217986577189</v>
      </c>
      <c r="X163" s="185">
        <f t="shared" ca="1" si="55"/>
        <v>9.606076489932887</v>
      </c>
      <c r="Y163" s="185">
        <f t="shared" ca="1" si="55"/>
        <v>9.989552597315436</v>
      </c>
      <c r="Z163" s="185">
        <f t="shared" ca="1" si="55"/>
        <v>10.449723926174496</v>
      </c>
      <c r="AA163" s="185">
        <f t="shared" ca="1" si="55"/>
        <v>10.814026228187917</v>
      </c>
      <c r="AB163" s="185">
        <f t="shared" ca="1" si="55"/>
        <v>11.274197557046978</v>
      </c>
      <c r="AC163" s="185">
        <f t="shared" ca="1" si="55"/>
        <v>11.657673664429529</v>
      </c>
      <c r="AD163" s="185">
        <f t="shared" ca="1" si="55"/>
        <v>11.906933134228186</v>
      </c>
      <c r="AE163" s="185">
        <f t="shared" ca="1" si="55"/>
        <v>12.1945402147651</v>
      </c>
      <c r="AF163" s="185">
        <f t="shared" ca="1" si="55"/>
        <v>12.501321100671138</v>
      </c>
      <c r="AG163" s="185">
        <f t="shared" ca="1" si="55"/>
        <v>12.769754375838925</v>
      </c>
      <c r="AH163" s="185">
        <f t="shared" ca="1" si="55"/>
        <v>13.095709067114093</v>
      </c>
      <c r="AI163" s="185">
        <f t="shared" ca="1" si="55"/>
        <v>13.42166375838926</v>
      </c>
      <c r="AJ163" s="185">
        <f t="shared" ca="1" si="55"/>
        <v>13.747618449664426</v>
      </c>
      <c r="AK163" s="185">
        <f t="shared" ca="1" si="55"/>
        <v>14.073573140939592</v>
      </c>
      <c r="AL163" s="185">
        <f t="shared" ca="1" si="55"/>
        <v>14.418701637583888</v>
      </c>
      <c r="AM163" s="185">
        <f t="shared" ca="1" si="55"/>
        <v>15.49243473825503</v>
      </c>
      <c r="AN163" s="185">
        <f t="shared" ca="1" si="55"/>
        <v>16.911296335570466</v>
      </c>
      <c r="AO163" s="185">
        <f t="shared" ca="1" si="55"/>
        <v>19.346369617449614</v>
      </c>
      <c r="AP163" s="185">
        <f t="shared" ca="1" si="55"/>
        <v>21.838964315436211</v>
      </c>
    </row>
    <row r="164" spans="1:42">
      <c r="A164" s="57" t="str">
        <f>'[4]TS BYDem'!A103</f>
        <v>*</v>
      </c>
      <c r="B164" s="185" t="s">
        <v>288</v>
      </c>
      <c r="C164" s="185" t="s">
        <v>137</v>
      </c>
      <c r="D164" s="185" t="str">
        <f>'[4]TS BYDem'!D103</f>
        <v xml:space="preserve"> </v>
      </c>
      <c r="E164" s="185" t="s">
        <v>137</v>
      </c>
      <c r="F164" s="185" t="s">
        <v>137</v>
      </c>
      <c r="G164" s="185" t="s">
        <v>137</v>
      </c>
      <c r="H164" s="185" t="s">
        <v>137</v>
      </c>
      <c r="I164" s="185">
        <v>0</v>
      </c>
      <c r="J164" s="185" t="str">
        <f>INDEX('[4]TS BYDem'!$J$10:$J$203,MATCH(D164,'[4]TS BYDem'!$D$10:$D$203,0))</f>
        <v/>
      </c>
      <c r="K164" s="185" t="e">
        <f t="shared" ca="1" si="58"/>
        <v>#VALUE!</v>
      </c>
      <c r="L164" s="185" t="e">
        <f t="shared" ca="1" si="55"/>
        <v>#VALUE!</v>
      </c>
      <c r="M164" s="185" t="e">
        <f t="shared" ca="1" si="55"/>
        <v>#VALUE!</v>
      </c>
      <c r="N164" s="185" t="e">
        <f t="shared" ca="1" si="55"/>
        <v>#VALUE!</v>
      </c>
      <c r="O164" s="185" t="e">
        <f t="shared" ref="O164:AD172" ca="1" si="59">O$154/N$154*N164</f>
        <v>#VALUE!</v>
      </c>
      <c r="P164" s="185" t="e">
        <f t="shared" ca="1" si="59"/>
        <v>#VALUE!</v>
      </c>
      <c r="Q164" s="185" t="e">
        <f t="shared" ca="1" si="59"/>
        <v>#VALUE!</v>
      </c>
      <c r="R164" s="185" t="e">
        <f t="shared" ca="1" si="59"/>
        <v>#VALUE!</v>
      </c>
      <c r="S164" s="185" t="e">
        <f t="shared" ca="1" si="59"/>
        <v>#VALUE!</v>
      </c>
      <c r="T164" s="185" t="e">
        <f t="shared" ca="1" si="59"/>
        <v>#VALUE!</v>
      </c>
      <c r="U164" s="185" t="e">
        <f t="shared" ca="1" si="59"/>
        <v>#VALUE!</v>
      </c>
      <c r="V164" s="185" t="e">
        <f t="shared" ca="1" si="59"/>
        <v>#VALUE!</v>
      </c>
      <c r="W164" s="185" t="e">
        <f t="shared" ca="1" si="59"/>
        <v>#VALUE!</v>
      </c>
      <c r="X164" s="185" t="e">
        <f t="shared" ca="1" si="59"/>
        <v>#VALUE!</v>
      </c>
      <c r="Y164" s="185" t="e">
        <f t="shared" ca="1" si="59"/>
        <v>#VALUE!</v>
      </c>
      <c r="Z164" s="185" t="e">
        <f t="shared" ca="1" si="59"/>
        <v>#VALUE!</v>
      </c>
      <c r="AA164" s="185" t="e">
        <f t="shared" ca="1" si="59"/>
        <v>#VALUE!</v>
      </c>
      <c r="AB164" s="185" t="e">
        <f t="shared" ca="1" si="59"/>
        <v>#VALUE!</v>
      </c>
      <c r="AC164" s="185" t="e">
        <f t="shared" ca="1" si="59"/>
        <v>#VALUE!</v>
      </c>
      <c r="AD164" s="185" t="e">
        <f t="shared" ca="1" si="59"/>
        <v>#VALUE!</v>
      </c>
      <c r="AE164" s="185" t="e">
        <f t="shared" ref="AE164:AP172" ca="1" si="60">AE$154/AD$154*AD164</f>
        <v>#VALUE!</v>
      </c>
      <c r="AF164" s="185" t="e">
        <f t="shared" ca="1" si="60"/>
        <v>#VALUE!</v>
      </c>
      <c r="AG164" s="185" t="e">
        <f t="shared" ca="1" si="60"/>
        <v>#VALUE!</v>
      </c>
      <c r="AH164" s="185" t="e">
        <f t="shared" ca="1" si="60"/>
        <v>#VALUE!</v>
      </c>
      <c r="AI164" s="185" t="e">
        <f t="shared" ca="1" si="60"/>
        <v>#VALUE!</v>
      </c>
      <c r="AJ164" s="185" t="e">
        <f t="shared" ca="1" si="60"/>
        <v>#VALUE!</v>
      </c>
      <c r="AK164" s="185" t="e">
        <f t="shared" ca="1" si="60"/>
        <v>#VALUE!</v>
      </c>
      <c r="AL164" s="185" t="e">
        <f t="shared" ca="1" si="60"/>
        <v>#VALUE!</v>
      </c>
      <c r="AM164" s="185" t="e">
        <f t="shared" ca="1" si="60"/>
        <v>#VALUE!</v>
      </c>
      <c r="AN164" s="185" t="e">
        <f t="shared" ca="1" si="60"/>
        <v>#VALUE!</v>
      </c>
      <c r="AO164" s="185" t="e">
        <f t="shared" ca="1" si="60"/>
        <v>#VALUE!</v>
      </c>
      <c r="AP164" s="185" t="e">
        <f t="shared" ca="1" si="60"/>
        <v>#VALUE!</v>
      </c>
    </row>
    <row r="165" spans="1:42">
      <c r="A165" s="57" t="str">
        <f>'[4]TS BYDem'!A104</f>
        <v/>
      </c>
      <c r="B165" s="185" t="s">
        <v>288</v>
      </c>
      <c r="C165" s="185" t="s">
        <v>137</v>
      </c>
      <c r="D165" s="185" t="str">
        <f>'[4]TS BYDem'!D104</f>
        <v>INFS</v>
      </c>
      <c r="E165" s="185" t="s">
        <v>137</v>
      </c>
      <c r="F165" s="185" t="s">
        <v>137</v>
      </c>
      <c r="G165" s="185" t="s">
        <v>137</v>
      </c>
      <c r="H165" s="185" t="s">
        <v>137</v>
      </c>
      <c r="I165" s="185">
        <v>0</v>
      </c>
      <c r="J165" s="185">
        <f>INDEX('[4]TS BYDem'!$J$10:$J$203,MATCH(D165,'[4]TS BYDem'!$D$10:$D$203,0))</f>
        <v>2.487856608</v>
      </c>
      <c r="K165" s="185">
        <f t="shared" ca="1" si="58"/>
        <v>2.0744442339703264</v>
      </c>
      <c r="L165" s="185">
        <f t="shared" ca="1" si="58"/>
        <v>1.7865320449139466</v>
      </c>
      <c r="M165" s="192">
        <f t="shared" ref="M165" si="61">O165</f>
        <v>0.65368000000000004</v>
      </c>
      <c r="N165" s="192">
        <f t="shared" ref="N165" si="62">O165</f>
        <v>0.65368000000000004</v>
      </c>
      <c r="O165" s="192">
        <f>INDEX('[4]TS BYDem'!$O$10:$O$203,MATCH(D165,'[4]TS BYDem'!$D$10:$D$203,0))</f>
        <v>0.65368000000000004</v>
      </c>
      <c r="P165" s="185">
        <f t="shared" ca="1" si="59"/>
        <v>0.64051865771812089</v>
      </c>
      <c r="Q165" s="185">
        <f t="shared" ca="1" si="59"/>
        <v>0.60542174496644308</v>
      </c>
      <c r="R165" s="185">
        <f t="shared" ca="1" si="59"/>
        <v>0.49684067114093977</v>
      </c>
      <c r="S165" s="185">
        <f t="shared" ca="1" si="59"/>
        <v>0.51438912751677868</v>
      </c>
      <c r="T165" s="185">
        <f t="shared" ca="1" si="59"/>
        <v>0.51658268456375844</v>
      </c>
      <c r="U165" s="185">
        <f t="shared" ca="1" si="59"/>
        <v>0.5198730201342282</v>
      </c>
      <c r="V165" s="185">
        <f t="shared" ca="1" si="59"/>
        <v>0.52316335570469785</v>
      </c>
      <c r="W165" s="185">
        <f t="shared" ca="1" si="59"/>
        <v>0.53084080536912748</v>
      </c>
      <c r="X165" s="185">
        <f t="shared" ca="1" si="59"/>
        <v>0.54948604026845638</v>
      </c>
      <c r="Y165" s="185">
        <f t="shared" ca="1" si="59"/>
        <v>0.57142161073825504</v>
      </c>
      <c r="Z165" s="185">
        <f t="shared" ca="1" si="59"/>
        <v>0.59774429530201345</v>
      </c>
      <c r="AA165" s="185">
        <f t="shared" ca="1" si="59"/>
        <v>0.61858308724832212</v>
      </c>
      <c r="AB165" s="185">
        <f t="shared" ca="1" si="59"/>
        <v>0.64490577181208053</v>
      </c>
      <c r="AC165" s="185">
        <f t="shared" ca="1" si="59"/>
        <v>0.66684134228187919</v>
      </c>
      <c r="AD165" s="185">
        <f t="shared" ca="1" si="59"/>
        <v>0.68109946308724822</v>
      </c>
      <c r="AE165" s="185">
        <f t="shared" ca="1" si="60"/>
        <v>0.69755114093959725</v>
      </c>
      <c r="AF165" s="185">
        <f t="shared" ca="1" si="60"/>
        <v>0.71509959731543604</v>
      </c>
      <c r="AG165" s="185">
        <f t="shared" ca="1" si="60"/>
        <v>0.73045449664429518</v>
      </c>
      <c r="AH165" s="185">
        <f t="shared" ca="1" si="60"/>
        <v>0.74909973154362408</v>
      </c>
      <c r="AI165" s="185">
        <f t="shared" ca="1" si="60"/>
        <v>0.76774496644295287</v>
      </c>
      <c r="AJ165" s="185">
        <f t="shared" ca="1" si="60"/>
        <v>0.78639020134228166</v>
      </c>
      <c r="AK165" s="185">
        <f t="shared" ca="1" si="60"/>
        <v>0.80503543624161045</v>
      </c>
      <c r="AL165" s="185">
        <f t="shared" ca="1" si="60"/>
        <v>0.82477744966442923</v>
      </c>
      <c r="AM165" s="185">
        <f t="shared" ca="1" si="60"/>
        <v>0.88619704697986545</v>
      </c>
      <c r="AN165" s="185">
        <f t="shared" ca="1" si="60"/>
        <v>0.96735865771812057</v>
      </c>
      <c r="AO165" s="185">
        <f t="shared" ca="1" si="60"/>
        <v>1.1066495302013393</v>
      </c>
      <c r="AP165" s="185">
        <f t="shared" ca="1" si="60"/>
        <v>1.2492307382550316</v>
      </c>
    </row>
    <row r="166" spans="1:42">
      <c r="A166" s="57" t="str">
        <f>'[4]TS BYDem'!A105</f>
        <v>*</v>
      </c>
      <c r="B166" s="185" t="s">
        <v>288</v>
      </c>
      <c r="C166" s="185" t="s">
        <v>137</v>
      </c>
      <c r="D166" s="185" t="str">
        <f>'[4]TS BYDem'!D105</f>
        <v>INFS</v>
      </c>
      <c r="E166" s="185" t="s">
        <v>137</v>
      </c>
      <c r="F166" s="185" t="s">
        <v>137</v>
      </c>
      <c r="G166" s="185" t="s">
        <v>137</v>
      </c>
      <c r="H166" s="185" t="s">
        <v>137</v>
      </c>
      <c r="I166" s="185">
        <v>0</v>
      </c>
      <c r="J166" s="185">
        <f>INDEX('[4]TS BYDem'!$J$10:$J$203,MATCH(D166,'[4]TS BYDem'!$D$10:$D$203,0))</f>
        <v>2.487856608</v>
      </c>
      <c r="K166" s="185">
        <f t="shared" ca="1" si="58"/>
        <v>2.0744442339703264</v>
      </c>
      <c r="L166" s="185">
        <f t="shared" ca="1" si="58"/>
        <v>1.7865320449139466</v>
      </c>
      <c r="M166" s="185">
        <f t="shared" ca="1" si="58"/>
        <v>1.6856397393471809</v>
      </c>
      <c r="N166" s="185">
        <f t="shared" ca="1" si="58"/>
        <v>1.5822866458397624</v>
      </c>
      <c r="O166" s="185">
        <f t="shared" ca="1" si="59"/>
        <v>1.4666296126290801</v>
      </c>
      <c r="P166" s="185">
        <f t="shared" ca="1" si="59"/>
        <v>1.4371001573412463</v>
      </c>
      <c r="Q166" s="185">
        <f t="shared" ca="1" si="59"/>
        <v>1.3583549432403561</v>
      </c>
      <c r="R166" s="185">
        <f t="shared" ca="1" si="59"/>
        <v>1.1147369371157272</v>
      </c>
      <c r="S166" s="185">
        <f t="shared" ca="1" si="59"/>
        <v>1.1541095441661722</v>
      </c>
      <c r="T166" s="185">
        <f t="shared" ca="1" si="59"/>
        <v>1.1590311200474777</v>
      </c>
      <c r="U166" s="185">
        <f t="shared" ca="1" si="59"/>
        <v>1.1664134838694362</v>
      </c>
      <c r="V166" s="185">
        <f t="shared" ca="1" si="59"/>
        <v>1.1737958476913946</v>
      </c>
      <c r="W166" s="185">
        <f t="shared" ca="1" si="59"/>
        <v>1.1910213632759645</v>
      </c>
      <c r="X166" s="185">
        <f t="shared" ca="1" si="59"/>
        <v>1.2328547582670626</v>
      </c>
      <c r="Y166" s="185">
        <f t="shared" ca="1" si="59"/>
        <v>1.282070517080119</v>
      </c>
      <c r="Z166" s="185">
        <f t="shared" ca="1" si="59"/>
        <v>1.3411294276557866</v>
      </c>
      <c r="AA166" s="185">
        <f t="shared" ca="1" si="59"/>
        <v>1.3878843985281899</v>
      </c>
      <c r="AB166" s="185">
        <f t="shared" ca="1" si="59"/>
        <v>1.4469433091038577</v>
      </c>
      <c r="AC166" s="185">
        <f t="shared" ca="1" si="59"/>
        <v>1.4961590679169141</v>
      </c>
      <c r="AD166" s="185">
        <f t="shared" ca="1" si="59"/>
        <v>1.5281493111454008</v>
      </c>
      <c r="AE166" s="185">
        <f t="shared" ca="1" si="60"/>
        <v>1.5650611302551931</v>
      </c>
      <c r="AF166" s="185">
        <f t="shared" ca="1" si="60"/>
        <v>1.6044337373056379</v>
      </c>
      <c r="AG166" s="185">
        <f t="shared" ca="1" si="60"/>
        <v>1.6388847684747776</v>
      </c>
      <c r="AH166" s="185">
        <f t="shared" ca="1" si="60"/>
        <v>1.6807181634658757</v>
      </c>
      <c r="AI166" s="185">
        <f t="shared" ca="1" si="60"/>
        <v>1.7225515584569735</v>
      </c>
      <c r="AJ166" s="185">
        <f t="shared" ca="1" si="60"/>
        <v>1.7643849534480713</v>
      </c>
      <c r="AK166" s="185">
        <f t="shared" ca="1" si="60"/>
        <v>1.8062183484391692</v>
      </c>
      <c r="AL166" s="185">
        <f t="shared" ca="1" si="60"/>
        <v>1.8505125313709199</v>
      </c>
      <c r="AM166" s="185">
        <f t="shared" ca="1" si="60"/>
        <v>1.9883166560474779</v>
      </c>
      <c r="AN166" s="185">
        <f t="shared" ca="1" si="60"/>
        <v>2.1704149636557868</v>
      </c>
      <c r="AO166" s="185">
        <f t="shared" ca="1" si="60"/>
        <v>2.4829350321186889</v>
      </c>
      <c r="AP166" s="185">
        <f t="shared" ca="1" si="60"/>
        <v>2.8028374644035581</v>
      </c>
    </row>
    <row r="167" spans="1:42">
      <c r="A167" s="57" t="str">
        <f>'[4]TS BYDem'!A106</f>
        <v>*</v>
      </c>
      <c r="B167" s="185" t="s">
        <v>288</v>
      </c>
      <c r="C167" s="185" t="s">
        <v>137</v>
      </c>
      <c r="D167" s="185" t="str">
        <f>'[4]TS BYDem'!D106</f>
        <v>INFS</v>
      </c>
      <c r="E167" s="185" t="s">
        <v>137</v>
      </c>
      <c r="F167" s="185" t="s">
        <v>137</v>
      </c>
      <c r="G167" s="185" t="s">
        <v>137</v>
      </c>
      <c r="H167" s="185" t="s">
        <v>137</v>
      </c>
      <c r="I167" s="185">
        <v>0</v>
      </c>
      <c r="J167" s="185">
        <f>INDEX('[4]TS BYDem'!$J$10:$J$203,MATCH(D167,'[4]TS BYDem'!$D$10:$D$203,0))</f>
        <v>2.487856608</v>
      </c>
      <c r="K167" s="185">
        <f t="shared" ca="1" si="58"/>
        <v>2.0744442339703264</v>
      </c>
      <c r="L167" s="185">
        <f t="shared" ca="1" si="58"/>
        <v>1.7865320449139466</v>
      </c>
      <c r="M167" s="185">
        <f t="shared" ca="1" si="58"/>
        <v>1.6856397393471809</v>
      </c>
      <c r="N167" s="185">
        <f t="shared" ca="1" si="58"/>
        <v>1.5822866458397624</v>
      </c>
      <c r="O167" s="185">
        <f t="shared" ca="1" si="59"/>
        <v>1.4666296126290801</v>
      </c>
      <c r="P167" s="185">
        <f t="shared" ca="1" si="59"/>
        <v>1.4371001573412463</v>
      </c>
      <c r="Q167" s="185">
        <f t="shared" ca="1" si="59"/>
        <v>1.3583549432403561</v>
      </c>
      <c r="R167" s="185">
        <f t="shared" ca="1" si="59"/>
        <v>1.1147369371157272</v>
      </c>
      <c r="S167" s="185">
        <f t="shared" ca="1" si="59"/>
        <v>1.1541095441661722</v>
      </c>
      <c r="T167" s="185">
        <f t="shared" ca="1" si="59"/>
        <v>1.1590311200474777</v>
      </c>
      <c r="U167" s="185">
        <f t="shared" ca="1" si="59"/>
        <v>1.1664134838694362</v>
      </c>
      <c r="V167" s="185">
        <f t="shared" ca="1" si="59"/>
        <v>1.1737958476913946</v>
      </c>
      <c r="W167" s="185">
        <f t="shared" ca="1" si="59"/>
        <v>1.1910213632759645</v>
      </c>
      <c r="X167" s="185">
        <f t="shared" ca="1" si="59"/>
        <v>1.2328547582670626</v>
      </c>
      <c r="Y167" s="185">
        <f t="shared" ca="1" si="59"/>
        <v>1.282070517080119</v>
      </c>
      <c r="Z167" s="185">
        <f t="shared" ca="1" si="59"/>
        <v>1.3411294276557866</v>
      </c>
      <c r="AA167" s="185">
        <f t="shared" ca="1" si="59"/>
        <v>1.3878843985281899</v>
      </c>
      <c r="AB167" s="185">
        <f t="shared" ca="1" si="59"/>
        <v>1.4469433091038577</v>
      </c>
      <c r="AC167" s="185">
        <f t="shared" ca="1" si="59"/>
        <v>1.4961590679169141</v>
      </c>
      <c r="AD167" s="185">
        <f t="shared" ca="1" si="59"/>
        <v>1.5281493111454008</v>
      </c>
      <c r="AE167" s="185">
        <f t="shared" ca="1" si="60"/>
        <v>1.5650611302551931</v>
      </c>
      <c r="AF167" s="185">
        <f t="shared" ca="1" si="60"/>
        <v>1.6044337373056379</v>
      </c>
      <c r="AG167" s="185">
        <f t="shared" ca="1" si="60"/>
        <v>1.6388847684747776</v>
      </c>
      <c r="AH167" s="185">
        <f t="shared" ca="1" si="60"/>
        <v>1.6807181634658757</v>
      </c>
      <c r="AI167" s="185">
        <f t="shared" ca="1" si="60"/>
        <v>1.7225515584569735</v>
      </c>
      <c r="AJ167" s="185">
        <f t="shared" ca="1" si="60"/>
        <v>1.7643849534480713</v>
      </c>
      <c r="AK167" s="185">
        <f t="shared" ca="1" si="60"/>
        <v>1.8062183484391692</v>
      </c>
      <c r="AL167" s="185">
        <f t="shared" ca="1" si="60"/>
        <v>1.8505125313709199</v>
      </c>
      <c r="AM167" s="185">
        <f t="shared" ca="1" si="60"/>
        <v>1.9883166560474779</v>
      </c>
      <c r="AN167" s="185">
        <f t="shared" ca="1" si="60"/>
        <v>2.1704149636557868</v>
      </c>
      <c r="AO167" s="185">
        <f t="shared" ca="1" si="60"/>
        <v>2.4829350321186889</v>
      </c>
      <c r="AP167" s="185">
        <f t="shared" ca="1" si="60"/>
        <v>2.8028374644035581</v>
      </c>
    </row>
    <row r="168" spans="1:42">
      <c r="A168" s="57" t="str">
        <f>'[4]TS BYDem'!A107</f>
        <v>*</v>
      </c>
      <c r="B168" s="185" t="s">
        <v>288</v>
      </c>
      <c r="C168" s="185" t="s">
        <v>137</v>
      </c>
      <c r="D168" s="185" t="str">
        <f>'[4]TS BYDem'!D107</f>
        <v>INFS</v>
      </c>
      <c r="E168" s="185" t="s">
        <v>137</v>
      </c>
      <c r="F168" s="185" t="s">
        <v>137</v>
      </c>
      <c r="G168" s="185" t="s">
        <v>137</v>
      </c>
      <c r="H168" s="185" t="s">
        <v>137</v>
      </c>
      <c r="I168" s="185">
        <v>0</v>
      </c>
      <c r="J168" s="185">
        <f>INDEX('[4]TS BYDem'!$J$10:$J$203,MATCH(D168,'[4]TS BYDem'!$D$10:$D$203,0))</f>
        <v>2.487856608</v>
      </c>
      <c r="K168" s="185">
        <f t="shared" ca="1" si="58"/>
        <v>2.0744442339703264</v>
      </c>
      <c r="L168" s="185">
        <f t="shared" ca="1" si="58"/>
        <v>1.7865320449139466</v>
      </c>
      <c r="M168" s="185">
        <f t="shared" ca="1" si="58"/>
        <v>1.6856397393471809</v>
      </c>
      <c r="N168" s="185">
        <f t="shared" ca="1" si="58"/>
        <v>1.5822866458397624</v>
      </c>
      <c r="O168" s="185">
        <f t="shared" ca="1" si="59"/>
        <v>1.4666296126290801</v>
      </c>
      <c r="P168" s="185">
        <f t="shared" ca="1" si="59"/>
        <v>1.4371001573412463</v>
      </c>
      <c r="Q168" s="185">
        <f t="shared" ca="1" si="59"/>
        <v>1.3583549432403561</v>
      </c>
      <c r="R168" s="185">
        <f t="shared" ca="1" si="59"/>
        <v>1.1147369371157272</v>
      </c>
      <c r="S168" s="185">
        <f t="shared" ca="1" si="59"/>
        <v>1.1541095441661722</v>
      </c>
      <c r="T168" s="185">
        <f t="shared" ca="1" si="59"/>
        <v>1.1590311200474777</v>
      </c>
      <c r="U168" s="185">
        <f t="shared" ca="1" si="59"/>
        <v>1.1664134838694362</v>
      </c>
      <c r="V168" s="185">
        <f t="shared" ca="1" si="59"/>
        <v>1.1737958476913946</v>
      </c>
      <c r="W168" s="185">
        <f t="shared" ca="1" si="59"/>
        <v>1.1910213632759645</v>
      </c>
      <c r="X168" s="185">
        <f t="shared" ca="1" si="59"/>
        <v>1.2328547582670626</v>
      </c>
      <c r="Y168" s="185">
        <f t="shared" ca="1" si="59"/>
        <v>1.282070517080119</v>
      </c>
      <c r="Z168" s="185">
        <f t="shared" ca="1" si="59"/>
        <v>1.3411294276557866</v>
      </c>
      <c r="AA168" s="185">
        <f t="shared" ca="1" si="59"/>
        <v>1.3878843985281899</v>
      </c>
      <c r="AB168" s="185">
        <f t="shared" ca="1" si="59"/>
        <v>1.4469433091038577</v>
      </c>
      <c r="AC168" s="185">
        <f t="shared" ca="1" si="59"/>
        <v>1.4961590679169141</v>
      </c>
      <c r="AD168" s="185">
        <f t="shared" ca="1" si="59"/>
        <v>1.5281493111454008</v>
      </c>
      <c r="AE168" s="185">
        <f t="shared" ca="1" si="60"/>
        <v>1.5650611302551931</v>
      </c>
      <c r="AF168" s="185">
        <f t="shared" ca="1" si="60"/>
        <v>1.6044337373056379</v>
      </c>
      <c r="AG168" s="185">
        <f t="shared" ca="1" si="60"/>
        <v>1.6388847684747776</v>
      </c>
      <c r="AH168" s="185">
        <f t="shared" ca="1" si="60"/>
        <v>1.6807181634658757</v>
      </c>
      <c r="AI168" s="185">
        <f t="shared" ca="1" si="60"/>
        <v>1.7225515584569735</v>
      </c>
      <c r="AJ168" s="185">
        <f t="shared" ca="1" si="60"/>
        <v>1.7643849534480713</v>
      </c>
      <c r="AK168" s="185">
        <f t="shared" ca="1" si="60"/>
        <v>1.8062183484391692</v>
      </c>
      <c r="AL168" s="185">
        <f t="shared" ca="1" si="60"/>
        <v>1.8505125313709199</v>
      </c>
      <c r="AM168" s="185">
        <f t="shared" ca="1" si="60"/>
        <v>1.9883166560474779</v>
      </c>
      <c r="AN168" s="185">
        <f t="shared" ca="1" si="60"/>
        <v>2.1704149636557868</v>
      </c>
      <c r="AO168" s="185">
        <f t="shared" ca="1" si="60"/>
        <v>2.4829350321186889</v>
      </c>
      <c r="AP168" s="185">
        <f t="shared" ca="1" si="60"/>
        <v>2.8028374644035581</v>
      </c>
    </row>
    <row r="169" spans="1:42">
      <c r="A169" s="57" t="str">
        <f>'[4]TS BYDem'!A108</f>
        <v>*</v>
      </c>
      <c r="B169" s="185" t="s">
        <v>288</v>
      </c>
      <c r="C169" s="185" t="s">
        <v>137</v>
      </c>
      <c r="D169" s="185" t="str">
        <f>'[4]TS BYDem'!D108</f>
        <v>INFS</v>
      </c>
      <c r="E169" s="185" t="s">
        <v>137</v>
      </c>
      <c r="F169" s="185" t="s">
        <v>137</v>
      </c>
      <c r="G169" s="185" t="s">
        <v>137</v>
      </c>
      <c r="H169" s="185" t="s">
        <v>137</v>
      </c>
      <c r="I169" s="185">
        <v>0</v>
      </c>
      <c r="J169" s="185">
        <f>INDEX('[4]TS BYDem'!$J$10:$J$203,MATCH(D169,'[4]TS BYDem'!$D$10:$D$203,0))</f>
        <v>2.487856608</v>
      </c>
      <c r="K169" s="185">
        <f t="shared" ca="1" si="58"/>
        <v>2.0744442339703264</v>
      </c>
      <c r="L169" s="185">
        <f t="shared" ca="1" si="58"/>
        <v>1.7865320449139466</v>
      </c>
      <c r="M169" s="185">
        <f t="shared" ca="1" si="58"/>
        <v>1.6856397393471809</v>
      </c>
      <c r="N169" s="185">
        <f t="shared" ca="1" si="58"/>
        <v>1.5822866458397624</v>
      </c>
      <c r="O169" s="185">
        <f t="shared" ca="1" si="59"/>
        <v>1.4666296126290801</v>
      </c>
      <c r="P169" s="185">
        <f t="shared" ca="1" si="59"/>
        <v>1.4371001573412463</v>
      </c>
      <c r="Q169" s="185">
        <f t="shared" ca="1" si="59"/>
        <v>1.3583549432403561</v>
      </c>
      <c r="R169" s="185">
        <f t="shared" ca="1" si="59"/>
        <v>1.1147369371157272</v>
      </c>
      <c r="S169" s="185">
        <f t="shared" ca="1" si="59"/>
        <v>1.1541095441661722</v>
      </c>
      <c r="T169" s="185">
        <f t="shared" ca="1" si="59"/>
        <v>1.1590311200474777</v>
      </c>
      <c r="U169" s="185">
        <f t="shared" ca="1" si="59"/>
        <v>1.1664134838694362</v>
      </c>
      <c r="V169" s="185">
        <f t="shared" ca="1" si="59"/>
        <v>1.1737958476913946</v>
      </c>
      <c r="W169" s="185">
        <f t="shared" ca="1" si="59"/>
        <v>1.1910213632759645</v>
      </c>
      <c r="X169" s="185">
        <f t="shared" ca="1" si="59"/>
        <v>1.2328547582670626</v>
      </c>
      <c r="Y169" s="185">
        <f t="shared" ca="1" si="59"/>
        <v>1.282070517080119</v>
      </c>
      <c r="Z169" s="185">
        <f t="shared" ca="1" si="59"/>
        <v>1.3411294276557866</v>
      </c>
      <c r="AA169" s="185">
        <f t="shared" ca="1" si="59"/>
        <v>1.3878843985281899</v>
      </c>
      <c r="AB169" s="185">
        <f t="shared" ca="1" si="59"/>
        <v>1.4469433091038577</v>
      </c>
      <c r="AC169" s="185">
        <f t="shared" ca="1" si="59"/>
        <v>1.4961590679169141</v>
      </c>
      <c r="AD169" s="185">
        <f t="shared" ca="1" si="59"/>
        <v>1.5281493111454008</v>
      </c>
      <c r="AE169" s="185">
        <f t="shared" ca="1" si="60"/>
        <v>1.5650611302551931</v>
      </c>
      <c r="AF169" s="185">
        <f t="shared" ca="1" si="60"/>
        <v>1.6044337373056379</v>
      </c>
      <c r="AG169" s="185">
        <f t="shared" ca="1" si="60"/>
        <v>1.6388847684747776</v>
      </c>
      <c r="AH169" s="185">
        <f t="shared" ca="1" si="60"/>
        <v>1.6807181634658757</v>
      </c>
      <c r="AI169" s="185">
        <f t="shared" ca="1" si="60"/>
        <v>1.7225515584569735</v>
      </c>
      <c r="AJ169" s="185">
        <f t="shared" ca="1" si="60"/>
        <v>1.7643849534480713</v>
      </c>
      <c r="AK169" s="185">
        <f t="shared" ca="1" si="60"/>
        <v>1.8062183484391692</v>
      </c>
      <c r="AL169" s="185">
        <f t="shared" ca="1" si="60"/>
        <v>1.8505125313709199</v>
      </c>
      <c r="AM169" s="185">
        <f t="shared" ca="1" si="60"/>
        <v>1.9883166560474779</v>
      </c>
      <c r="AN169" s="185">
        <f t="shared" ca="1" si="60"/>
        <v>2.1704149636557868</v>
      </c>
      <c r="AO169" s="185">
        <f t="shared" ca="1" si="60"/>
        <v>2.4829350321186889</v>
      </c>
      <c r="AP169" s="185">
        <f t="shared" ca="1" si="60"/>
        <v>2.8028374644035581</v>
      </c>
    </row>
    <row r="170" spans="1:42">
      <c r="A170" s="57" t="str">
        <f>'[4]TS BYDem'!A109</f>
        <v>*</v>
      </c>
      <c r="B170" s="185" t="s">
        <v>288</v>
      </c>
      <c r="C170" s="185" t="s">
        <v>137</v>
      </c>
      <c r="D170" s="185" t="str">
        <f>'[4]TS BYDem'!D109</f>
        <v>INFS</v>
      </c>
      <c r="E170" s="185" t="s">
        <v>137</v>
      </c>
      <c r="F170" s="185" t="s">
        <v>137</v>
      </c>
      <c r="G170" s="185" t="s">
        <v>137</v>
      </c>
      <c r="H170" s="185" t="s">
        <v>137</v>
      </c>
      <c r="I170" s="185">
        <v>0</v>
      </c>
      <c r="J170" s="185">
        <f>INDEX('[4]TS BYDem'!$J$10:$J$203,MATCH(D170,'[4]TS BYDem'!$D$10:$D$203,0))</f>
        <v>2.487856608</v>
      </c>
      <c r="K170" s="185">
        <f t="shared" ca="1" si="58"/>
        <v>2.0744442339703264</v>
      </c>
      <c r="L170" s="185">
        <f t="shared" ca="1" si="58"/>
        <v>1.7865320449139466</v>
      </c>
      <c r="M170" s="185">
        <f t="shared" ca="1" si="58"/>
        <v>1.6856397393471809</v>
      </c>
      <c r="N170" s="185">
        <f t="shared" ca="1" si="58"/>
        <v>1.5822866458397624</v>
      </c>
      <c r="O170" s="185">
        <f t="shared" ca="1" si="59"/>
        <v>1.4666296126290801</v>
      </c>
      <c r="P170" s="185">
        <f t="shared" ca="1" si="59"/>
        <v>1.4371001573412463</v>
      </c>
      <c r="Q170" s="185">
        <f t="shared" ca="1" si="59"/>
        <v>1.3583549432403561</v>
      </c>
      <c r="R170" s="185">
        <f t="shared" ca="1" si="59"/>
        <v>1.1147369371157272</v>
      </c>
      <c r="S170" s="185">
        <f t="shared" ca="1" si="59"/>
        <v>1.1541095441661722</v>
      </c>
      <c r="T170" s="185">
        <f t="shared" ca="1" si="59"/>
        <v>1.1590311200474777</v>
      </c>
      <c r="U170" s="185">
        <f t="shared" ca="1" si="59"/>
        <v>1.1664134838694362</v>
      </c>
      <c r="V170" s="185">
        <f t="shared" ca="1" si="59"/>
        <v>1.1737958476913946</v>
      </c>
      <c r="W170" s="185">
        <f t="shared" ca="1" si="59"/>
        <v>1.1910213632759645</v>
      </c>
      <c r="X170" s="185">
        <f t="shared" ca="1" si="59"/>
        <v>1.2328547582670626</v>
      </c>
      <c r="Y170" s="185">
        <f t="shared" ca="1" si="59"/>
        <v>1.282070517080119</v>
      </c>
      <c r="Z170" s="185">
        <f t="shared" ca="1" si="59"/>
        <v>1.3411294276557866</v>
      </c>
      <c r="AA170" s="185">
        <f t="shared" ca="1" si="59"/>
        <v>1.3878843985281899</v>
      </c>
      <c r="AB170" s="185">
        <f t="shared" ca="1" si="59"/>
        <v>1.4469433091038577</v>
      </c>
      <c r="AC170" s="185">
        <f t="shared" ca="1" si="59"/>
        <v>1.4961590679169141</v>
      </c>
      <c r="AD170" s="185">
        <f t="shared" ca="1" si="59"/>
        <v>1.5281493111454008</v>
      </c>
      <c r="AE170" s="185">
        <f t="shared" ca="1" si="60"/>
        <v>1.5650611302551931</v>
      </c>
      <c r="AF170" s="185">
        <f t="shared" ca="1" si="60"/>
        <v>1.6044337373056379</v>
      </c>
      <c r="AG170" s="185">
        <f t="shared" ca="1" si="60"/>
        <v>1.6388847684747776</v>
      </c>
      <c r="AH170" s="185">
        <f t="shared" ca="1" si="60"/>
        <v>1.6807181634658757</v>
      </c>
      <c r="AI170" s="185">
        <f t="shared" ca="1" si="60"/>
        <v>1.7225515584569735</v>
      </c>
      <c r="AJ170" s="185">
        <f t="shared" ca="1" si="60"/>
        <v>1.7643849534480713</v>
      </c>
      <c r="AK170" s="185">
        <f t="shared" ca="1" si="60"/>
        <v>1.8062183484391692</v>
      </c>
      <c r="AL170" s="185">
        <f t="shared" ca="1" si="60"/>
        <v>1.8505125313709199</v>
      </c>
      <c r="AM170" s="185">
        <f t="shared" ca="1" si="60"/>
        <v>1.9883166560474779</v>
      </c>
      <c r="AN170" s="185">
        <f t="shared" ca="1" si="60"/>
        <v>2.1704149636557868</v>
      </c>
      <c r="AO170" s="185">
        <f t="shared" ca="1" si="60"/>
        <v>2.4829350321186889</v>
      </c>
      <c r="AP170" s="185">
        <f t="shared" ca="1" si="60"/>
        <v>2.8028374644035581</v>
      </c>
    </row>
    <row r="171" spans="1:42">
      <c r="A171" s="57" t="str">
        <f>'[4]TS BYDem'!A110</f>
        <v>*</v>
      </c>
      <c r="B171" s="185" t="s">
        <v>288</v>
      </c>
      <c r="C171" s="185" t="s">
        <v>137</v>
      </c>
      <c r="D171" s="185" t="str">
        <f>'[4]TS BYDem'!D110</f>
        <v>Useful Energy Service</v>
      </c>
      <c r="E171" s="185" t="s">
        <v>137</v>
      </c>
      <c r="F171" s="185" t="s">
        <v>137</v>
      </c>
      <c r="G171" s="185" t="s">
        <v>137</v>
      </c>
      <c r="H171" s="185" t="s">
        <v>137</v>
      </c>
      <c r="I171" s="185">
        <v>0</v>
      </c>
      <c r="J171" s="185" t="str">
        <f>INDEX('[4]TS BYDem'!$J$10:$J$203,MATCH(D171,'[4]TS BYDem'!$D$10:$D$203,0))</f>
        <v/>
      </c>
      <c r="K171" s="185" t="e">
        <f t="shared" ca="1" si="58"/>
        <v>#VALUE!</v>
      </c>
      <c r="L171" s="185" t="e">
        <f t="shared" ca="1" si="58"/>
        <v>#VALUE!</v>
      </c>
      <c r="M171" s="185" t="e">
        <f t="shared" ca="1" si="58"/>
        <v>#VALUE!</v>
      </c>
      <c r="N171" s="185" t="e">
        <f t="shared" ca="1" si="58"/>
        <v>#VALUE!</v>
      </c>
      <c r="O171" s="185" t="e">
        <f t="shared" ca="1" si="59"/>
        <v>#VALUE!</v>
      </c>
      <c r="P171" s="185" t="e">
        <f t="shared" ca="1" si="59"/>
        <v>#VALUE!</v>
      </c>
      <c r="Q171" s="185" t="e">
        <f t="shared" ca="1" si="59"/>
        <v>#VALUE!</v>
      </c>
      <c r="R171" s="185" t="e">
        <f t="shared" ca="1" si="59"/>
        <v>#VALUE!</v>
      </c>
      <c r="S171" s="185" t="e">
        <f t="shared" ca="1" si="59"/>
        <v>#VALUE!</v>
      </c>
      <c r="T171" s="185" t="e">
        <f t="shared" ca="1" si="59"/>
        <v>#VALUE!</v>
      </c>
      <c r="U171" s="185" t="e">
        <f t="shared" ca="1" si="59"/>
        <v>#VALUE!</v>
      </c>
      <c r="V171" s="185" t="e">
        <f t="shared" ca="1" si="59"/>
        <v>#VALUE!</v>
      </c>
      <c r="W171" s="185" t="e">
        <f t="shared" ca="1" si="59"/>
        <v>#VALUE!</v>
      </c>
      <c r="X171" s="185" t="e">
        <f t="shared" ca="1" si="59"/>
        <v>#VALUE!</v>
      </c>
      <c r="Y171" s="185" t="e">
        <f t="shared" ca="1" si="59"/>
        <v>#VALUE!</v>
      </c>
      <c r="Z171" s="185" t="e">
        <f t="shared" ca="1" si="59"/>
        <v>#VALUE!</v>
      </c>
      <c r="AA171" s="185" t="e">
        <f t="shared" ca="1" si="59"/>
        <v>#VALUE!</v>
      </c>
      <c r="AB171" s="185" t="e">
        <f t="shared" ca="1" si="59"/>
        <v>#VALUE!</v>
      </c>
      <c r="AC171" s="185" t="e">
        <f t="shared" ca="1" si="59"/>
        <v>#VALUE!</v>
      </c>
      <c r="AD171" s="185" t="e">
        <f t="shared" ca="1" si="59"/>
        <v>#VALUE!</v>
      </c>
      <c r="AE171" s="185" t="e">
        <f t="shared" ca="1" si="60"/>
        <v>#VALUE!</v>
      </c>
      <c r="AF171" s="185" t="e">
        <f t="shared" ca="1" si="60"/>
        <v>#VALUE!</v>
      </c>
      <c r="AG171" s="185" t="e">
        <f t="shared" ca="1" si="60"/>
        <v>#VALUE!</v>
      </c>
      <c r="AH171" s="185" t="e">
        <f t="shared" ca="1" si="60"/>
        <v>#VALUE!</v>
      </c>
      <c r="AI171" s="185" t="e">
        <f t="shared" ca="1" si="60"/>
        <v>#VALUE!</v>
      </c>
      <c r="AJ171" s="185" t="e">
        <f t="shared" ca="1" si="60"/>
        <v>#VALUE!</v>
      </c>
      <c r="AK171" s="185" t="e">
        <f t="shared" ca="1" si="60"/>
        <v>#VALUE!</v>
      </c>
      <c r="AL171" s="185" t="e">
        <f t="shared" ca="1" si="60"/>
        <v>#VALUE!</v>
      </c>
      <c r="AM171" s="185" t="e">
        <f t="shared" ca="1" si="60"/>
        <v>#VALUE!</v>
      </c>
      <c r="AN171" s="185" t="e">
        <f t="shared" ca="1" si="60"/>
        <v>#VALUE!</v>
      </c>
      <c r="AO171" s="185" t="e">
        <f t="shared" ca="1" si="60"/>
        <v>#VALUE!</v>
      </c>
      <c r="AP171" s="185" t="e">
        <f t="shared" ca="1" si="60"/>
        <v>#VALUE!</v>
      </c>
    </row>
    <row r="172" spans="1:42">
      <c r="A172" s="57" t="str">
        <f>'[4]TS BYDem'!A111</f>
        <v>*</v>
      </c>
      <c r="B172" s="185" t="s">
        <v>288</v>
      </c>
      <c r="C172" s="185" t="s">
        <v>137</v>
      </c>
      <c r="D172" s="185">
        <f>'[4]TS BYDem'!D111</f>
        <v>0</v>
      </c>
      <c r="E172" s="185" t="s">
        <v>137</v>
      </c>
      <c r="F172" s="185" t="s">
        <v>137</v>
      </c>
      <c r="G172" s="185" t="s">
        <v>137</v>
      </c>
      <c r="H172" s="185" t="s">
        <v>137</v>
      </c>
      <c r="I172" s="185">
        <v>0</v>
      </c>
      <c r="J172" s="185" t="str">
        <f>INDEX('[4]TS BYDem'!$J$10:$J$203,MATCH(D172,'[4]TS BYDem'!$D$10:$D$203,0))</f>
        <v/>
      </c>
      <c r="K172" s="185" t="e">
        <f t="shared" ca="1" si="58"/>
        <v>#VALUE!</v>
      </c>
      <c r="L172" s="185" t="e">
        <f t="shared" ca="1" si="58"/>
        <v>#VALUE!</v>
      </c>
      <c r="M172" s="185" t="e">
        <f t="shared" ca="1" si="58"/>
        <v>#VALUE!</v>
      </c>
      <c r="N172" s="185" t="e">
        <f t="shared" ca="1" si="58"/>
        <v>#VALUE!</v>
      </c>
      <c r="O172" s="185" t="e">
        <f t="shared" ca="1" si="59"/>
        <v>#VALUE!</v>
      </c>
      <c r="P172" s="185" t="e">
        <f t="shared" ca="1" si="59"/>
        <v>#VALUE!</v>
      </c>
      <c r="Q172" s="185" t="e">
        <f t="shared" ca="1" si="59"/>
        <v>#VALUE!</v>
      </c>
      <c r="R172" s="185" t="e">
        <f t="shared" ca="1" si="59"/>
        <v>#VALUE!</v>
      </c>
      <c r="S172" s="185" t="e">
        <f t="shared" ca="1" si="59"/>
        <v>#VALUE!</v>
      </c>
      <c r="T172" s="185" t="e">
        <f t="shared" ca="1" si="59"/>
        <v>#VALUE!</v>
      </c>
      <c r="U172" s="185" t="e">
        <f t="shared" ca="1" si="59"/>
        <v>#VALUE!</v>
      </c>
      <c r="V172" s="185" t="e">
        <f t="shared" ca="1" si="59"/>
        <v>#VALUE!</v>
      </c>
      <c r="W172" s="185" t="e">
        <f t="shared" ca="1" si="59"/>
        <v>#VALUE!</v>
      </c>
      <c r="X172" s="185" t="e">
        <f t="shared" ca="1" si="59"/>
        <v>#VALUE!</v>
      </c>
      <c r="Y172" s="185" t="e">
        <f t="shared" ca="1" si="59"/>
        <v>#VALUE!</v>
      </c>
      <c r="Z172" s="185" t="e">
        <f t="shared" ca="1" si="59"/>
        <v>#VALUE!</v>
      </c>
      <c r="AA172" s="185" t="e">
        <f t="shared" ca="1" si="59"/>
        <v>#VALUE!</v>
      </c>
      <c r="AB172" s="185" t="e">
        <f t="shared" ca="1" si="59"/>
        <v>#VALUE!</v>
      </c>
      <c r="AC172" s="185" t="e">
        <f t="shared" ca="1" si="59"/>
        <v>#VALUE!</v>
      </c>
      <c r="AD172" s="185" t="e">
        <f t="shared" ca="1" si="59"/>
        <v>#VALUE!</v>
      </c>
      <c r="AE172" s="185" t="e">
        <f t="shared" ca="1" si="60"/>
        <v>#VALUE!</v>
      </c>
      <c r="AF172" s="185" t="e">
        <f t="shared" ca="1" si="60"/>
        <v>#VALUE!</v>
      </c>
      <c r="AG172" s="185" t="e">
        <f t="shared" ca="1" si="60"/>
        <v>#VALUE!</v>
      </c>
      <c r="AH172" s="185" t="e">
        <f t="shared" ca="1" si="60"/>
        <v>#VALUE!</v>
      </c>
      <c r="AI172" s="185" t="e">
        <f t="shared" ca="1" si="60"/>
        <v>#VALUE!</v>
      </c>
      <c r="AJ172" s="185" t="e">
        <f t="shared" ca="1" si="60"/>
        <v>#VALUE!</v>
      </c>
      <c r="AK172" s="185" t="e">
        <f t="shared" ca="1" si="60"/>
        <v>#VALUE!</v>
      </c>
      <c r="AL172" s="185" t="e">
        <f t="shared" ca="1" si="60"/>
        <v>#VALUE!</v>
      </c>
      <c r="AM172" s="185" t="e">
        <f t="shared" ca="1" si="60"/>
        <v>#VALUE!</v>
      </c>
      <c r="AN172" s="185" t="e">
        <f t="shared" ca="1" si="60"/>
        <v>#VALUE!</v>
      </c>
      <c r="AO172" s="185" t="e">
        <f t="shared" ca="1" si="60"/>
        <v>#VALUE!</v>
      </c>
      <c r="AP172" s="185" t="e">
        <f t="shared" ca="1" si="60"/>
        <v>#VALUE!</v>
      </c>
    </row>
    <row r="173" spans="1:42" s="5" customFormat="1">
      <c r="A173" s="57" t="str">
        <f>'[4]TS BYDem'!A108</f>
        <v>*</v>
      </c>
      <c r="B173" s="5">
        <f>B154+1</f>
        <v>6</v>
      </c>
      <c r="C173" s="3" t="str">
        <f ca="1">OFFSET($C$9,$B173,0)</f>
        <v>N.M.M Products</v>
      </c>
      <c r="D173" s="3" t="str">
        <f ca="1">OFFSET($B$9,$B173,0)</f>
        <v>NM</v>
      </c>
      <c r="J173" s="5">
        <f ca="1">SUMIF($B$10:$B$22,$D173,J$10:J$22)*SUMIF($B$10:$B$22,$D173,J$41:J$53)</f>
        <v>225.76</v>
      </c>
      <c r="K173" s="5">
        <f t="shared" ref="K173:AP173" ca="1" si="63">SUMIF($B$10:$B$22,$D173,K$10:K$22)*SUMIF($B$10:$B$22,$D173,K$41:K$53)</f>
        <v>232.32</v>
      </c>
      <c r="L173" s="5">
        <f t="shared" ca="1" si="63"/>
        <v>236.64</v>
      </c>
      <c r="M173" s="5">
        <f t="shared" ca="1" si="63"/>
        <v>240.48</v>
      </c>
      <c r="N173" s="5">
        <f t="shared" ca="1" si="63"/>
        <v>243.36</v>
      </c>
      <c r="O173" s="5">
        <f t="shared" ca="1" si="63"/>
        <v>245.6</v>
      </c>
      <c r="P173" s="5">
        <f t="shared" ca="1" si="63"/>
        <v>248.16</v>
      </c>
      <c r="Q173" s="5">
        <f t="shared" ca="1" si="63"/>
        <v>248.64</v>
      </c>
      <c r="R173" s="5">
        <f t="shared" ca="1" si="63"/>
        <v>227.36</v>
      </c>
      <c r="S173" s="5">
        <f t="shared" ca="1" si="63"/>
        <v>233.6</v>
      </c>
      <c r="T173" s="5">
        <f t="shared" ca="1" si="63"/>
        <v>239.2</v>
      </c>
      <c r="U173" s="5">
        <f t="shared" ca="1" si="63"/>
        <v>244.8</v>
      </c>
      <c r="V173" s="5">
        <f t="shared" ca="1" si="63"/>
        <v>250.24</v>
      </c>
      <c r="W173" s="5">
        <f t="shared" ca="1" si="63"/>
        <v>256</v>
      </c>
      <c r="X173" s="5">
        <f t="shared" ca="1" si="63"/>
        <v>263.04000000000002</v>
      </c>
      <c r="Y173" s="5">
        <f t="shared" ca="1" si="63"/>
        <v>270.08</v>
      </c>
      <c r="Z173" s="5">
        <f t="shared" ca="1" si="63"/>
        <v>277.44</v>
      </c>
      <c r="AA173" s="5">
        <f t="shared" ca="1" si="63"/>
        <v>284.8</v>
      </c>
      <c r="AB173" s="5">
        <f t="shared" ca="1" si="63"/>
        <v>292.32</v>
      </c>
      <c r="AC173" s="5">
        <f t="shared" ca="1" si="63"/>
        <v>300.95999999999998</v>
      </c>
      <c r="AD173" s="5">
        <f t="shared" ca="1" si="63"/>
        <v>309.12</v>
      </c>
      <c r="AE173" s="5">
        <f t="shared" ca="1" si="63"/>
        <v>318.08</v>
      </c>
      <c r="AF173" s="5">
        <f t="shared" ca="1" si="63"/>
        <v>327.84</v>
      </c>
      <c r="AG173" s="5">
        <f t="shared" ca="1" si="63"/>
        <v>338.24</v>
      </c>
      <c r="AH173" s="5">
        <f t="shared" ca="1" si="63"/>
        <v>348.96</v>
      </c>
      <c r="AI173" s="5">
        <f t="shared" ca="1" si="63"/>
        <v>360</v>
      </c>
      <c r="AJ173" s="5">
        <f t="shared" ca="1" si="63"/>
        <v>371.04</v>
      </c>
      <c r="AK173" s="5">
        <f t="shared" ca="1" si="63"/>
        <v>382.72</v>
      </c>
      <c r="AL173" s="5">
        <f t="shared" ca="1" si="63"/>
        <v>394.88</v>
      </c>
      <c r="AM173" s="5">
        <f t="shared" ca="1" si="63"/>
        <v>463.84</v>
      </c>
      <c r="AN173" s="5">
        <f t="shared" ca="1" si="63"/>
        <v>551.04</v>
      </c>
      <c r="AO173" s="5">
        <f t="shared" ca="1" si="63"/>
        <v>704.15999999999985</v>
      </c>
      <c r="AP173" s="5">
        <f t="shared" ca="1" si="63"/>
        <v>860.31999999999971</v>
      </c>
    </row>
    <row r="174" spans="1:42">
      <c r="A174" s="57" t="str">
        <f>'[4]TS BYDem'!A113</f>
        <v>*</v>
      </c>
      <c r="B174" s="185" t="s">
        <v>288</v>
      </c>
      <c r="C174" s="185" t="s">
        <v>137</v>
      </c>
      <c r="D174" s="185" t="str">
        <f>'[4]TS BYDem'!D113</f>
        <v>INMK</v>
      </c>
      <c r="E174" s="185" t="s">
        <v>137</v>
      </c>
      <c r="F174" s="185" t="s">
        <v>137</v>
      </c>
      <c r="G174" s="185" t="s">
        <v>137</v>
      </c>
      <c r="H174" s="185" t="s">
        <v>137</v>
      </c>
      <c r="I174" s="185">
        <v>0</v>
      </c>
      <c r="J174" s="185" t="str">
        <f>INDEX('[4]TS BYDem'!$J$10:$J$203,MATCH(D174,'[4]TS BYDem'!$D$10:$D$203,0))</f>
        <v/>
      </c>
      <c r="K174" s="185" t="e">
        <f t="shared" ref="K174:Z189" ca="1" si="64">K$173/J$173*J174</f>
        <v>#VALUE!</v>
      </c>
      <c r="L174" s="185" t="e">
        <f t="shared" ca="1" si="64"/>
        <v>#VALUE!</v>
      </c>
      <c r="M174" s="185" t="e">
        <f t="shared" ca="1" si="64"/>
        <v>#VALUE!</v>
      </c>
      <c r="N174" s="185" t="e">
        <f t="shared" ca="1" si="64"/>
        <v>#VALUE!</v>
      </c>
      <c r="O174" s="185" t="e">
        <f t="shared" ca="1" si="64"/>
        <v>#VALUE!</v>
      </c>
      <c r="P174" s="185" t="e">
        <f t="shared" ca="1" si="64"/>
        <v>#VALUE!</v>
      </c>
      <c r="Q174" s="185" t="e">
        <f t="shared" ca="1" si="64"/>
        <v>#VALUE!</v>
      </c>
      <c r="R174" s="185" t="e">
        <f t="shared" ca="1" si="64"/>
        <v>#VALUE!</v>
      </c>
      <c r="S174" s="185" t="e">
        <f t="shared" ca="1" si="64"/>
        <v>#VALUE!</v>
      </c>
      <c r="T174" s="185" t="e">
        <f t="shared" ca="1" si="64"/>
        <v>#VALUE!</v>
      </c>
      <c r="U174" s="185" t="e">
        <f t="shared" ca="1" si="64"/>
        <v>#VALUE!</v>
      </c>
      <c r="V174" s="185" t="e">
        <f t="shared" ca="1" si="64"/>
        <v>#VALUE!</v>
      </c>
      <c r="W174" s="185" t="e">
        <f t="shared" ca="1" si="64"/>
        <v>#VALUE!</v>
      </c>
      <c r="X174" s="185" t="e">
        <f t="shared" ca="1" si="64"/>
        <v>#VALUE!</v>
      </c>
      <c r="Y174" s="185" t="e">
        <f t="shared" ca="1" si="64"/>
        <v>#VALUE!</v>
      </c>
      <c r="Z174" s="185" t="e">
        <f t="shared" ca="1" si="64"/>
        <v>#VALUE!</v>
      </c>
      <c r="AA174" s="185" t="e">
        <f t="shared" ref="AA174:AP189" ca="1" si="65">AA$173/Z$173*Z174</f>
        <v>#VALUE!</v>
      </c>
      <c r="AB174" s="185" t="e">
        <f t="shared" ca="1" si="65"/>
        <v>#VALUE!</v>
      </c>
      <c r="AC174" s="185" t="e">
        <f t="shared" ca="1" si="65"/>
        <v>#VALUE!</v>
      </c>
      <c r="AD174" s="185" t="e">
        <f t="shared" ca="1" si="65"/>
        <v>#VALUE!</v>
      </c>
      <c r="AE174" s="185" t="e">
        <f t="shared" ca="1" si="65"/>
        <v>#VALUE!</v>
      </c>
      <c r="AF174" s="185" t="e">
        <f t="shared" ca="1" si="65"/>
        <v>#VALUE!</v>
      </c>
      <c r="AG174" s="185" t="e">
        <f t="shared" ca="1" si="65"/>
        <v>#VALUE!</v>
      </c>
      <c r="AH174" s="185" t="e">
        <f t="shared" ca="1" si="65"/>
        <v>#VALUE!</v>
      </c>
      <c r="AI174" s="185" t="e">
        <f t="shared" ca="1" si="65"/>
        <v>#VALUE!</v>
      </c>
      <c r="AJ174" s="185" t="e">
        <f t="shared" ca="1" si="65"/>
        <v>#VALUE!</v>
      </c>
      <c r="AK174" s="185" t="e">
        <f t="shared" ca="1" si="65"/>
        <v>#VALUE!</v>
      </c>
      <c r="AL174" s="185" t="e">
        <f t="shared" ca="1" si="65"/>
        <v>#VALUE!</v>
      </c>
      <c r="AM174" s="185" t="e">
        <f t="shared" ca="1" si="65"/>
        <v>#VALUE!</v>
      </c>
      <c r="AN174" s="185" t="e">
        <f t="shared" ca="1" si="65"/>
        <v>#VALUE!</v>
      </c>
      <c r="AO174" s="185" t="e">
        <f t="shared" ca="1" si="65"/>
        <v>#VALUE!</v>
      </c>
      <c r="AP174" s="185" t="e">
        <f t="shared" ca="1" si="65"/>
        <v>#VALUE!</v>
      </c>
    </row>
    <row r="175" spans="1:42">
      <c r="A175" s="57" t="str">
        <f>'[4]TS BYDem'!A114</f>
        <v>*</v>
      </c>
      <c r="B175" s="185" t="s">
        <v>288</v>
      </c>
      <c r="C175" s="185" t="s">
        <v>137</v>
      </c>
      <c r="D175" s="185" t="str">
        <f>'[4]TS BYDem'!D114</f>
        <v>INMA</v>
      </c>
      <c r="E175" s="185" t="s">
        <v>137</v>
      </c>
      <c r="F175" s="185" t="s">
        <v>137</v>
      </c>
      <c r="G175" s="185" t="s">
        <v>137</v>
      </c>
      <c r="H175" s="185" t="s">
        <v>137</v>
      </c>
      <c r="I175" s="185">
        <v>0</v>
      </c>
      <c r="J175" s="185" t="str">
        <f>INDEX('[4]TS BYDem'!$J$10:$J$203,MATCH(D175,'[4]TS BYDem'!$D$10:$D$203,0))</f>
        <v/>
      </c>
      <c r="K175" s="185" t="e">
        <f t="shared" ca="1" si="64"/>
        <v>#VALUE!</v>
      </c>
      <c r="L175" s="185" t="e">
        <f t="shared" ca="1" si="64"/>
        <v>#VALUE!</v>
      </c>
      <c r="M175" s="185" t="e">
        <f t="shared" ca="1" si="64"/>
        <v>#VALUE!</v>
      </c>
      <c r="N175" s="185" t="e">
        <f t="shared" ca="1" si="64"/>
        <v>#VALUE!</v>
      </c>
      <c r="O175" s="185" t="e">
        <f t="shared" ca="1" si="64"/>
        <v>#VALUE!</v>
      </c>
      <c r="P175" s="185" t="e">
        <f t="shared" ca="1" si="64"/>
        <v>#VALUE!</v>
      </c>
      <c r="Q175" s="185" t="e">
        <f t="shared" ca="1" si="64"/>
        <v>#VALUE!</v>
      </c>
      <c r="R175" s="185" t="e">
        <f t="shared" ca="1" si="64"/>
        <v>#VALUE!</v>
      </c>
      <c r="S175" s="185" t="e">
        <f t="shared" ca="1" si="64"/>
        <v>#VALUE!</v>
      </c>
      <c r="T175" s="185" t="e">
        <f t="shared" ca="1" si="64"/>
        <v>#VALUE!</v>
      </c>
      <c r="U175" s="185" t="e">
        <f t="shared" ca="1" si="64"/>
        <v>#VALUE!</v>
      </c>
      <c r="V175" s="185" t="e">
        <f t="shared" ca="1" si="64"/>
        <v>#VALUE!</v>
      </c>
      <c r="W175" s="185" t="e">
        <f t="shared" ca="1" si="64"/>
        <v>#VALUE!</v>
      </c>
      <c r="X175" s="185" t="e">
        <f t="shared" ca="1" si="64"/>
        <v>#VALUE!</v>
      </c>
      <c r="Y175" s="185" t="e">
        <f t="shared" ca="1" si="64"/>
        <v>#VALUE!</v>
      </c>
      <c r="Z175" s="185" t="e">
        <f t="shared" ca="1" si="64"/>
        <v>#VALUE!</v>
      </c>
      <c r="AA175" s="185" t="e">
        <f t="shared" ca="1" si="65"/>
        <v>#VALUE!</v>
      </c>
      <c r="AB175" s="185" t="e">
        <f t="shared" ca="1" si="65"/>
        <v>#VALUE!</v>
      </c>
      <c r="AC175" s="185" t="e">
        <f t="shared" ca="1" si="65"/>
        <v>#VALUE!</v>
      </c>
      <c r="AD175" s="185" t="e">
        <f t="shared" ca="1" si="65"/>
        <v>#VALUE!</v>
      </c>
      <c r="AE175" s="185" t="e">
        <f t="shared" ca="1" si="65"/>
        <v>#VALUE!</v>
      </c>
      <c r="AF175" s="185" t="e">
        <f t="shared" ca="1" si="65"/>
        <v>#VALUE!</v>
      </c>
      <c r="AG175" s="185" t="e">
        <f t="shared" ca="1" si="65"/>
        <v>#VALUE!</v>
      </c>
      <c r="AH175" s="185" t="e">
        <f t="shared" ca="1" si="65"/>
        <v>#VALUE!</v>
      </c>
      <c r="AI175" s="185" t="e">
        <f t="shared" ca="1" si="65"/>
        <v>#VALUE!</v>
      </c>
      <c r="AJ175" s="185" t="e">
        <f t="shared" ca="1" si="65"/>
        <v>#VALUE!</v>
      </c>
      <c r="AK175" s="185" t="e">
        <f t="shared" ca="1" si="65"/>
        <v>#VALUE!</v>
      </c>
      <c r="AL175" s="185" t="e">
        <f t="shared" ca="1" si="65"/>
        <v>#VALUE!</v>
      </c>
      <c r="AM175" s="185" t="e">
        <f t="shared" ca="1" si="65"/>
        <v>#VALUE!</v>
      </c>
      <c r="AN175" s="185" t="e">
        <f t="shared" ca="1" si="65"/>
        <v>#VALUE!</v>
      </c>
      <c r="AO175" s="185" t="e">
        <f t="shared" ca="1" si="65"/>
        <v>#VALUE!</v>
      </c>
      <c r="AP175" s="185" t="e">
        <f t="shared" ca="1" si="65"/>
        <v>#VALUE!</v>
      </c>
    </row>
    <row r="176" spans="1:42">
      <c r="A176" s="57" t="str">
        <f>'[4]TS BYDem'!A115</f>
        <v>*</v>
      </c>
      <c r="B176" s="185" t="s">
        <v>288</v>
      </c>
      <c r="C176" s="185" t="s">
        <v>137</v>
      </c>
      <c r="D176" s="185" t="str">
        <f>'[4]TS BYDem'!D115</f>
        <v>INML</v>
      </c>
      <c r="E176" s="185" t="s">
        <v>137</v>
      </c>
      <c r="F176" s="185" t="s">
        <v>137</v>
      </c>
      <c r="G176" s="185" t="s">
        <v>137</v>
      </c>
      <c r="H176" s="185" t="s">
        <v>137</v>
      </c>
      <c r="I176" s="185">
        <v>0</v>
      </c>
      <c r="J176" s="185" t="str">
        <f>INDEX('[4]TS BYDem'!$J$10:$J$203,MATCH(D176,'[4]TS BYDem'!$D$10:$D$203,0))</f>
        <v/>
      </c>
      <c r="K176" s="185" t="e">
        <f t="shared" ca="1" si="64"/>
        <v>#VALUE!</v>
      </c>
      <c r="L176" s="185" t="e">
        <f t="shared" ca="1" si="64"/>
        <v>#VALUE!</v>
      </c>
      <c r="M176" s="185" t="e">
        <f t="shared" ca="1" si="64"/>
        <v>#VALUE!</v>
      </c>
      <c r="N176" s="185" t="e">
        <f t="shared" ca="1" si="64"/>
        <v>#VALUE!</v>
      </c>
      <c r="O176" s="185" t="e">
        <f t="shared" ca="1" si="64"/>
        <v>#VALUE!</v>
      </c>
      <c r="P176" s="185" t="e">
        <f t="shared" ca="1" si="64"/>
        <v>#VALUE!</v>
      </c>
      <c r="Q176" s="185" t="e">
        <f t="shared" ca="1" si="64"/>
        <v>#VALUE!</v>
      </c>
      <c r="R176" s="185" t="e">
        <f t="shared" ca="1" si="64"/>
        <v>#VALUE!</v>
      </c>
      <c r="S176" s="185" t="e">
        <f t="shared" ca="1" si="64"/>
        <v>#VALUE!</v>
      </c>
      <c r="T176" s="185" t="e">
        <f t="shared" ca="1" si="64"/>
        <v>#VALUE!</v>
      </c>
      <c r="U176" s="185" t="e">
        <f t="shared" ca="1" si="64"/>
        <v>#VALUE!</v>
      </c>
      <c r="V176" s="185" t="e">
        <f t="shared" ca="1" si="64"/>
        <v>#VALUE!</v>
      </c>
      <c r="W176" s="185" t="e">
        <f t="shared" ca="1" si="64"/>
        <v>#VALUE!</v>
      </c>
      <c r="X176" s="185" t="e">
        <f t="shared" ca="1" si="64"/>
        <v>#VALUE!</v>
      </c>
      <c r="Y176" s="185" t="e">
        <f t="shared" ca="1" si="64"/>
        <v>#VALUE!</v>
      </c>
      <c r="Z176" s="185" t="e">
        <f t="shared" ca="1" si="64"/>
        <v>#VALUE!</v>
      </c>
      <c r="AA176" s="185" t="e">
        <f t="shared" ca="1" si="65"/>
        <v>#VALUE!</v>
      </c>
      <c r="AB176" s="185" t="e">
        <f t="shared" ca="1" si="65"/>
        <v>#VALUE!</v>
      </c>
      <c r="AC176" s="185" t="e">
        <f t="shared" ca="1" si="65"/>
        <v>#VALUE!</v>
      </c>
      <c r="AD176" s="185" t="e">
        <f t="shared" ca="1" si="65"/>
        <v>#VALUE!</v>
      </c>
      <c r="AE176" s="185" t="e">
        <f t="shared" ca="1" si="65"/>
        <v>#VALUE!</v>
      </c>
      <c r="AF176" s="185" t="e">
        <f t="shared" ca="1" si="65"/>
        <v>#VALUE!</v>
      </c>
      <c r="AG176" s="185" t="e">
        <f t="shared" ca="1" si="65"/>
        <v>#VALUE!</v>
      </c>
      <c r="AH176" s="185" t="e">
        <f t="shared" ca="1" si="65"/>
        <v>#VALUE!</v>
      </c>
      <c r="AI176" s="185" t="e">
        <f t="shared" ca="1" si="65"/>
        <v>#VALUE!</v>
      </c>
      <c r="AJ176" s="185" t="e">
        <f t="shared" ca="1" si="65"/>
        <v>#VALUE!</v>
      </c>
      <c r="AK176" s="185" t="e">
        <f t="shared" ca="1" si="65"/>
        <v>#VALUE!</v>
      </c>
      <c r="AL176" s="185" t="e">
        <f t="shared" ca="1" si="65"/>
        <v>#VALUE!</v>
      </c>
      <c r="AM176" s="185" t="e">
        <f t="shared" ca="1" si="65"/>
        <v>#VALUE!</v>
      </c>
      <c r="AN176" s="185" t="e">
        <f t="shared" ca="1" si="65"/>
        <v>#VALUE!</v>
      </c>
      <c r="AO176" s="185" t="e">
        <f t="shared" ca="1" si="65"/>
        <v>#VALUE!</v>
      </c>
      <c r="AP176" s="185" t="e">
        <f t="shared" ca="1" si="65"/>
        <v>#VALUE!</v>
      </c>
    </row>
    <row r="177" spans="1:42">
      <c r="A177" s="57" t="str">
        <f>'[4]TS BYDem'!A116</f>
        <v>*</v>
      </c>
      <c r="B177" s="185" t="s">
        <v>288</v>
      </c>
      <c r="C177" s="185" t="s">
        <v>137</v>
      </c>
      <c r="D177" s="185" t="str">
        <f>'[4]TS BYDem'!D116</f>
        <v>INMC</v>
      </c>
      <c r="E177" s="185" t="s">
        <v>137</v>
      </c>
      <c r="F177" s="185" t="s">
        <v>137</v>
      </c>
      <c r="G177" s="185" t="s">
        <v>137</v>
      </c>
      <c r="H177" s="185" t="s">
        <v>137</v>
      </c>
      <c r="I177" s="185">
        <v>0</v>
      </c>
      <c r="J177" s="185" t="str">
        <f>INDEX('[4]TS BYDem'!$J$10:$J$203,MATCH(D177,'[4]TS BYDem'!$D$10:$D$203,0))</f>
        <v/>
      </c>
      <c r="K177" s="185" t="e">
        <f t="shared" ca="1" si="64"/>
        <v>#VALUE!</v>
      </c>
      <c r="L177" s="185" t="e">
        <f t="shared" ca="1" si="64"/>
        <v>#VALUE!</v>
      </c>
      <c r="M177" s="185" t="e">
        <f t="shared" ca="1" si="64"/>
        <v>#VALUE!</v>
      </c>
      <c r="N177" s="185" t="e">
        <f t="shared" ca="1" si="64"/>
        <v>#VALUE!</v>
      </c>
      <c r="O177" s="185" t="e">
        <f t="shared" ca="1" si="64"/>
        <v>#VALUE!</v>
      </c>
      <c r="P177" s="185" t="e">
        <f t="shared" ca="1" si="64"/>
        <v>#VALUE!</v>
      </c>
      <c r="Q177" s="185" t="e">
        <f t="shared" ca="1" si="64"/>
        <v>#VALUE!</v>
      </c>
      <c r="R177" s="185" t="e">
        <f t="shared" ca="1" si="64"/>
        <v>#VALUE!</v>
      </c>
      <c r="S177" s="185" t="e">
        <f t="shared" ca="1" si="64"/>
        <v>#VALUE!</v>
      </c>
      <c r="T177" s="185" t="e">
        <f t="shared" ca="1" si="64"/>
        <v>#VALUE!</v>
      </c>
      <c r="U177" s="185" t="e">
        <f t="shared" ca="1" si="64"/>
        <v>#VALUE!</v>
      </c>
      <c r="V177" s="185" t="e">
        <f t="shared" ca="1" si="64"/>
        <v>#VALUE!</v>
      </c>
      <c r="W177" s="185" t="e">
        <f t="shared" ca="1" si="64"/>
        <v>#VALUE!</v>
      </c>
      <c r="X177" s="185" t="e">
        <f t="shared" ca="1" si="64"/>
        <v>#VALUE!</v>
      </c>
      <c r="Y177" s="185" t="e">
        <f t="shared" ca="1" si="64"/>
        <v>#VALUE!</v>
      </c>
      <c r="Z177" s="185" t="e">
        <f t="shared" ca="1" si="64"/>
        <v>#VALUE!</v>
      </c>
      <c r="AA177" s="185" t="e">
        <f t="shared" ca="1" si="65"/>
        <v>#VALUE!</v>
      </c>
      <c r="AB177" s="185" t="e">
        <f t="shared" ca="1" si="65"/>
        <v>#VALUE!</v>
      </c>
      <c r="AC177" s="185" t="e">
        <f t="shared" ca="1" si="65"/>
        <v>#VALUE!</v>
      </c>
      <c r="AD177" s="185" t="e">
        <f t="shared" ca="1" si="65"/>
        <v>#VALUE!</v>
      </c>
      <c r="AE177" s="185" t="e">
        <f t="shared" ca="1" si="65"/>
        <v>#VALUE!</v>
      </c>
      <c r="AF177" s="185" t="e">
        <f t="shared" ca="1" si="65"/>
        <v>#VALUE!</v>
      </c>
      <c r="AG177" s="185" t="e">
        <f t="shared" ca="1" si="65"/>
        <v>#VALUE!</v>
      </c>
      <c r="AH177" s="185" t="e">
        <f t="shared" ca="1" si="65"/>
        <v>#VALUE!</v>
      </c>
      <c r="AI177" s="185" t="e">
        <f t="shared" ca="1" si="65"/>
        <v>#VALUE!</v>
      </c>
      <c r="AJ177" s="185" t="e">
        <f t="shared" ca="1" si="65"/>
        <v>#VALUE!</v>
      </c>
      <c r="AK177" s="185" t="e">
        <f t="shared" ca="1" si="65"/>
        <v>#VALUE!</v>
      </c>
      <c r="AL177" s="185" t="e">
        <f t="shared" ca="1" si="65"/>
        <v>#VALUE!</v>
      </c>
      <c r="AM177" s="185" t="e">
        <f t="shared" ca="1" si="65"/>
        <v>#VALUE!</v>
      </c>
      <c r="AN177" s="185" t="e">
        <f t="shared" ca="1" si="65"/>
        <v>#VALUE!</v>
      </c>
      <c r="AO177" s="185" t="e">
        <f t="shared" ca="1" si="65"/>
        <v>#VALUE!</v>
      </c>
      <c r="AP177" s="185" t="e">
        <f t="shared" ca="1" si="65"/>
        <v>#VALUE!</v>
      </c>
    </row>
    <row r="178" spans="1:42">
      <c r="A178" s="57" t="str">
        <f>'[4]TS BYDem'!A117</f>
        <v>*</v>
      </c>
      <c r="B178" s="185" t="s">
        <v>288</v>
      </c>
      <c r="C178" s="185" t="s">
        <v>137</v>
      </c>
      <c r="D178" s="185" t="str">
        <f>'[4]TS BYDem'!D117</f>
        <v>INMH</v>
      </c>
      <c r="E178" s="185" t="s">
        <v>137</v>
      </c>
      <c r="F178" s="185" t="s">
        <v>137</v>
      </c>
      <c r="G178" s="185" t="s">
        <v>137</v>
      </c>
      <c r="H178" s="185" t="s">
        <v>137</v>
      </c>
      <c r="I178" s="185">
        <v>0</v>
      </c>
      <c r="J178" s="185" t="str">
        <f>INDEX('[4]TS BYDem'!$J$10:$J$203,MATCH(D178,'[4]TS BYDem'!$D$10:$D$203,0))</f>
        <v/>
      </c>
      <c r="K178" s="185" t="e">
        <f t="shared" ca="1" si="64"/>
        <v>#VALUE!</v>
      </c>
      <c r="L178" s="185" t="e">
        <f t="shared" ca="1" si="64"/>
        <v>#VALUE!</v>
      </c>
      <c r="M178" s="185" t="e">
        <f t="shared" ca="1" si="64"/>
        <v>#VALUE!</v>
      </c>
      <c r="N178" s="185" t="e">
        <f t="shared" ca="1" si="64"/>
        <v>#VALUE!</v>
      </c>
      <c r="O178" s="185" t="e">
        <f t="shared" ca="1" si="64"/>
        <v>#VALUE!</v>
      </c>
      <c r="P178" s="185" t="e">
        <f t="shared" ca="1" si="64"/>
        <v>#VALUE!</v>
      </c>
      <c r="Q178" s="185" t="e">
        <f t="shared" ca="1" si="64"/>
        <v>#VALUE!</v>
      </c>
      <c r="R178" s="185" t="e">
        <f t="shared" ca="1" si="64"/>
        <v>#VALUE!</v>
      </c>
      <c r="S178" s="185" t="e">
        <f t="shared" ca="1" si="64"/>
        <v>#VALUE!</v>
      </c>
      <c r="T178" s="185" t="e">
        <f t="shared" ca="1" si="64"/>
        <v>#VALUE!</v>
      </c>
      <c r="U178" s="185" t="e">
        <f t="shared" ca="1" si="64"/>
        <v>#VALUE!</v>
      </c>
      <c r="V178" s="185" t="e">
        <f t="shared" ca="1" si="64"/>
        <v>#VALUE!</v>
      </c>
      <c r="W178" s="185" t="e">
        <f t="shared" ca="1" si="64"/>
        <v>#VALUE!</v>
      </c>
      <c r="X178" s="185" t="e">
        <f t="shared" ca="1" si="64"/>
        <v>#VALUE!</v>
      </c>
      <c r="Y178" s="185" t="e">
        <f t="shared" ca="1" si="64"/>
        <v>#VALUE!</v>
      </c>
      <c r="Z178" s="185" t="e">
        <f t="shared" ca="1" si="64"/>
        <v>#VALUE!</v>
      </c>
      <c r="AA178" s="185" t="e">
        <f t="shared" ca="1" si="65"/>
        <v>#VALUE!</v>
      </c>
      <c r="AB178" s="185" t="e">
        <f t="shared" ca="1" si="65"/>
        <v>#VALUE!</v>
      </c>
      <c r="AC178" s="185" t="e">
        <f t="shared" ca="1" si="65"/>
        <v>#VALUE!</v>
      </c>
      <c r="AD178" s="185" t="e">
        <f t="shared" ca="1" si="65"/>
        <v>#VALUE!</v>
      </c>
      <c r="AE178" s="185" t="e">
        <f t="shared" ca="1" si="65"/>
        <v>#VALUE!</v>
      </c>
      <c r="AF178" s="185" t="e">
        <f t="shared" ca="1" si="65"/>
        <v>#VALUE!</v>
      </c>
      <c r="AG178" s="185" t="e">
        <f t="shared" ca="1" si="65"/>
        <v>#VALUE!</v>
      </c>
      <c r="AH178" s="185" t="e">
        <f t="shared" ca="1" si="65"/>
        <v>#VALUE!</v>
      </c>
      <c r="AI178" s="185" t="e">
        <f t="shared" ca="1" si="65"/>
        <v>#VALUE!</v>
      </c>
      <c r="AJ178" s="185" t="e">
        <f t="shared" ca="1" si="65"/>
        <v>#VALUE!</v>
      </c>
      <c r="AK178" s="185" t="e">
        <f t="shared" ca="1" si="65"/>
        <v>#VALUE!</v>
      </c>
      <c r="AL178" s="185" t="e">
        <f t="shared" ca="1" si="65"/>
        <v>#VALUE!</v>
      </c>
      <c r="AM178" s="185" t="e">
        <f t="shared" ca="1" si="65"/>
        <v>#VALUE!</v>
      </c>
      <c r="AN178" s="185" t="e">
        <f t="shared" ca="1" si="65"/>
        <v>#VALUE!</v>
      </c>
      <c r="AO178" s="185" t="e">
        <f t="shared" ca="1" si="65"/>
        <v>#VALUE!</v>
      </c>
      <c r="AP178" s="185" t="e">
        <f t="shared" ca="1" si="65"/>
        <v>#VALUE!</v>
      </c>
    </row>
    <row r="179" spans="1:42">
      <c r="A179" s="57" t="str">
        <f>'[4]TS BYDem'!A118</f>
        <v>*</v>
      </c>
      <c r="B179" s="185" t="s">
        <v>288</v>
      </c>
      <c r="C179" s="185" t="s">
        <v>137</v>
      </c>
      <c r="D179" s="185" t="str">
        <f>'[4]TS BYDem'!D118</f>
        <v>INMP</v>
      </c>
      <c r="E179" s="185" t="s">
        <v>137</v>
      </c>
      <c r="F179" s="185" t="s">
        <v>137</v>
      </c>
      <c r="G179" s="185" t="s">
        <v>137</v>
      </c>
      <c r="H179" s="185" t="s">
        <v>137</v>
      </c>
      <c r="I179" s="185">
        <v>0</v>
      </c>
      <c r="J179" s="185" t="str">
        <f>INDEX('[4]TS BYDem'!$J$10:$J$203,MATCH(D179,'[4]TS BYDem'!$D$10:$D$203,0))</f>
        <v/>
      </c>
      <c r="K179" s="185" t="e">
        <f t="shared" ca="1" si="64"/>
        <v>#VALUE!</v>
      </c>
      <c r="L179" s="185" t="e">
        <f t="shared" ca="1" si="64"/>
        <v>#VALUE!</v>
      </c>
      <c r="M179" s="185" t="e">
        <f t="shared" ca="1" si="64"/>
        <v>#VALUE!</v>
      </c>
      <c r="N179" s="185" t="e">
        <f t="shared" ca="1" si="64"/>
        <v>#VALUE!</v>
      </c>
      <c r="O179" s="185" t="e">
        <f t="shared" ca="1" si="64"/>
        <v>#VALUE!</v>
      </c>
      <c r="P179" s="185" t="e">
        <f t="shared" ca="1" si="64"/>
        <v>#VALUE!</v>
      </c>
      <c r="Q179" s="185" t="e">
        <f t="shared" ca="1" si="64"/>
        <v>#VALUE!</v>
      </c>
      <c r="R179" s="185" t="e">
        <f t="shared" ca="1" si="64"/>
        <v>#VALUE!</v>
      </c>
      <c r="S179" s="185" t="e">
        <f t="shared" ca="1" si="64"/>
        <v>#VALUE!</v>
      </c>
      <c r="T179" s="185" t="e">
        <f t="shared" ca="1" si="64"/>
        <v>#VALUE!</v>
      </c>
      <c r="U179" s="185" t="e">
        <f t="shared" ca="1" si="64"/>
        <v>#VALUE!</v>
      </c>
      <c r="V179" s="185" t="e">
        <f t="shared" ca="1" si="64"/>
        <v>#VALUE!</v>
      </c>
      <c r="W179" s="185" t="e">
        <f t="shared" ca="1" si="64"/>
        <v>#VALUE!</v>
      </c>
      <c r="X179" s="185" t="e">
        <f t="shared" ca="1" si="64"/>
        <v>#VALUE!</v>
      </c>
      <c r="Y179" s="185" t="e">
        <f t="shared" ca="1" si="64"/>
        <v>#VALUE!</v>
      </c>
      <c r="Z179" s="185" t="e">
        <f t="shared" ca="1" si="64"/>
        <v>#VALUE!</v>
      </c>
      <c r="AA179" s="185" t="e">
        <f t="shared" ca="1" si="65"/>
        <v>#VALUE!</v>
      </c>
      <c r="AB179" s="185" t="e">
        <f t="shared" ca="1" si="65"/>
        <v>#VALUE!</v>
      </c>
      <c r="AC179" s="185" t="e">
        <f t="shared" ca="1" si="65"/>
        <v>#VALUE!</v>
      </c>
      <c r="AD179" s="185" t="e">
        <f t="shared" ca="1" si="65"/>
        <v>#VALUE!</v>
      </c>
      <c r="AE179" s="185" t="e">
        <f t="shared" ca="1" si="65"/>
        <v>#VALUE!</v>
      </c>
      <c r="AF179" s="185" t="e">
        <f t="shared" ca="1" si="65"/>
        <v>#VALUE!</v>
      </c>
      <c r="AG179" s="185" t="e">
        <f t="shared" ca="1" si="65"/>
        <v>#VALUE!</v>
      </c>
      <c r="AH179" s="185" t="e">
        <f t="shared" ca="1" si="65"/>
        <v>#VALUE!</v>
      </c>
      <c r="AI179" s="185" t="e">
        <f t="shared" ca="1" si="65"/>
        <v>#VALUE!</v>
      </c>
      <c r="AJ179" s="185" t="e">
        <f t="shared" ca="1" si="65"/>
        <v>#VALUE!</v>
      </c>
      <c r="AK179" s="185" t="e">
        <f t="shared" ca="1" si="65"/>
        <v>#VALUE!</v>
      </c>
      <c r="AL179" s="185" t="e">
        <f t="shared" ca="1" si="65"/>
        <v>#VALUE!</v>
      </c>
      <c r="AM179" s="185" t="e">
        <f t="shared" ca="1" si="65"/>
        <v>#VALUE!</v>
      </c>
      <c r="AN179" s="185" t="e">
        <f t="shared" ca="1" si="65"/>
        <v>#VALUE!</v>
      </c>
      <c r="AO179" s="185" t="e">
        <f t="shared" ca="1" si="65"/>
        <v>#VALUE!</v>
      </c>
      <c r="AP179" s="185" t="e">
        <f t="shared" ca="1" si="65"/>
        <v>#VALUE!</v>
      </c>
    </row>
    <row r="180" spans="1:42">
      <c r="A180" s="57" t="str">
        <f>'[4]TS BYDem'!A119</f>
        <v>*</v>
      </c>
      <c r="B180" s="185" t="s">
        <v>288</v>
      </c>
      <c r="C180" s="185" t="s">
        <v>137</v>
      </c>
      <c r="D180" s="185" t="str">
        <f>'[4]TS BYDem'!D119</f>
        <v>INMF</v>
      </c>
      <c r="E180" s="185" t="s">
        <v>137</v>
      </c>
      <c r="F180" s="185" t="s">
        <v>137</v>
      </c>
      <c r="G180" s="185" t="s">
        <v>137</v>
      </c>
      <c r="H180" s="185" t="s">
        <v>137</v>
      </c>
      <c r="I180" s="185">
        <v>0</v>
      </c>
      <c r="J180" s="185" t="str">
        <f>INDEX('[4]TS BYDem'!$J$10:$J$203,MATCH(D180,'[4]TS BYDem'!$D$10:$D$203,0))</f>
        <v/>
      </c>
      <c r="K180" s="185" t="e">
        <f t="shared" ca="1" si="64"/>
        <v>#VALUE!</v>
      </c>
      <c r="L180" s="185" t="e">
        <f t="shared" ca="1" si="64"/>
        <v>#VALUE!</v>
      </c>
      <c r="M180" s="185" t="e">
        <f t="shared" ca="1" si="64"/>
        <v>#VALUE!</v>
      </c>
      <c r="N180" s="185" t="e">
        <f t="shared" ca="1" si="64"/>
        <v>#VALUE!</v>
      </c>
      <c r="O180" s="185" t="e">
        <f t="shared" ca="1" si="64"/>
        <v>#VALUE!</v>
      </c>
      <c r="P180" s="185" t="e">
        <f t="shared" ca="1" si="64"/>
        <v>#VALUE!</v>
      </c>
      <c r="Q180" s="185" t="e">
        <f t="shared" ca="1" si="64"/>
        <v>#VALUE!</v>
      </c>
      <c r="R180" s="185" t="e">
        <f t="shared" ca="1" si="64"/>
        <v>#VALUE!</v>
      </c>
      <c r="S180" s="185" t="e">
        <f t="shared" ca="1" si="64"/>
        <v>#VALUE!</v>
      </c>
      <c r="T180" s="185" t="e">
        <f t="shared" ca="1" si="64"/>
        <v>#VALUE!</v>
      </c>
      <c r="U180" s="185" t="e">
        <f t="shared" ca="1" si="64"/>
        <v>#VALUE!</v>
      </c>
      <c r="V180" s="185" t="e">
        <f t="shared" ca="1" si="64"/>
        <v>#VALUE!</v>
      </c>
      <c r="W180" s="185" t="e">
        <f t="shared" ca="1" si="64"/>
        <v>#VALUE!</v>
      </c>
      <c r="X180" s="185" t="e">
        <f t="shared" ca="1" si="64"/>
        <v>#VALUE!</v>
      </c>
      <c r="Y180" s="185" t="e">
        <f t="shared" ca="1" si="64"/>
        <v>#VALUE!</v>
      </c>
      <c r="Z180" s="185" t="e">
        <f t="shared" ca="1" si="64"/>
        <v>#VALUE!</v>
      </c>
      <c r="AA180" s="185" t="e">
        <f t="shared" ca="1" si="65"/>
        <v>#VALUE!</v>
      </c>
      <c r="AB180" s="185" t="e">
        <f t="shared" ca="1" si="65"/>
        <v>#VALUE!</v>
      </c>
      <c r="AC180" s="185" t="e">
        <f t="shared" ca="1" si="65"/>
        <v>#VALUE!</v>
      </c>
      <c r="AD180" s="185" t="e">
        <f t="shared" ca="1" si="65"/>
        <v>#VALUE!</v>
      </c>
      <c r="AE180" s="185" t="e">
        <f t="shared" ca="1" si="65"/>
        <v>#VALUE!</v>
      </c>
      <c r="AF180" s="185" t="e">
        <f t="shared" ca="1" si="65"/>
        <v>#VALUE!</v>
      </c>
      <c r="AG180" s="185" t="e">
        <f t="shared" ca="1" si="65"/>
        <v>#VALUE!</v>
      </c>
      <c r="AH180" s="185" t="e">
        <f t="shared" ca="1" si="65"/>
        <v>#VALUE!</v>
      </c>
      <c r="AI180" s="185" t="e">
        <f t="shared" ca="1" si="65"/>
        <v>#VALUE!</v>
      </c>
      <c r="AJ180" s="185" t="e">
        <f t="shared" ca="1" si="65"/>
        <v>#VALUE!</v>
      </c>
      <c r="AK180" s="185" t="e">
        <f t="shared" ca="1" si="65"/>
        <v>#VALUE!</v>
      </c>
      <c r="AL180" s="185" t="e">
        <f t="shared" ca="1" si="65"/>
        <v>#VALUE!</v>
      </c>
      <c r="AM180" s="185" t="e">
        <f t="shared" ca="1" si="65"/>
        <v>#VALUE!</v>
      </c>
      <c r="AN180" s="185" t="e">
        <f t="shared" ca="1" si="65"/>
        <v>#VALUE!</v>
      </c>
      <c r="AO180" s="185" t="e">
        <f t="shared" ca="1" si="65"/>
        <v>#VALUE!</v>
      </c>
      <c r="AP180" s="185" t="e">
        <f t="shared" ca="1" si="65"/>
        <v>#VALUE!</v>
      </c>
    </row>
    <row r="181" spans="1:42">
      <c r="A181" s="57" t="str">
        <f>'[4]TS BYDem'!A120</f>
        <v>*</v>
      </c>
      <c r="B181" s="185" t="s">
        <v>288</v>
      </c>
      <c r="C181" s="185" t="s">
        <v>137</v>
      </c>
      <c r="D181" s="185" t="str">
        <f>'[4]TS BYDem'!D120</f>
        <v>INMO</v>
      </c>
      <c r="E181" s="185" t="s">
        <v>137</v>
      </c>
      <c r="F181" s="185" t="s">
        <v>137</v>
      </c>
      <c r="G181" s="185" t="s">
        <v>137</v>
      </c>
      <c r="H181" s="185" t="s">
        <v>137</v>
      </c>
      <c r="I181" s="185">
        <v>0</v>
      </c>
      <c r="J181" s="185" t="str">
        <f>INDEX('[4]TS BYDem'!$J$10:$J$203,MATCH(D181,'[4]TS BYDem'!$D$10:$D$203,0))</f>
        <v/>
      </c>
      <c r="K181" s="185" t="e">
        <f t="shared" ca="1" si="64"/>
        <v>#VALUE!</v>
      </c>
      <c r="L181" s="185" t="e">
        <f t="shared" ca="1" si="64"/>
        <v>#VALUE!</v>
      </c>
      <c r="M181" s="185" t="e">
        <f t="shared" ca="1" si="64"/>
        <v>#VALUE!</v>
      </c>
      <c r="N181" s="185" t="e">
        <f t="shared" ca="1" si="64"/>
        <v>#VALUE!</v>
      </c>
      <c r="O181" s="185" t="e">
        <f t="shared" ca="1" si="64"/>
        <v>#VALUE!</v>
      </c>
      <c r="P181" s="185" t="e">
        <f t="shared" ca="1" si="64"/>
        <v>#VALUE!</v>
      </c>
      <c r="Q181" s="185" t="e">
        <f t="shared" ca="1" si="64"/>
        <v>#VALUE!</v>
      </c>
      <c r="R181" s="185" t="e">
        <f t="shared" ca="1" si="64"/>
        <v>#VALUE!</v>
      </c>
      <c r="S181" s="185" t="e">
        <f t="shared" ca="1" si="64"/>
        <v>#VALUE!</v>
      </c>
      <c r="T181" s="185" t="e">
        <f t="shared" ca="1" si="64"/>
        <v>#VALUE!</v>
      </c>
      <c r="U181" s="185" t="e">
        <f t="shared" ca="1" si="64"/>
        <v>#VALUE!</v>
      </c>
      <c r="V181" s="185" t="e">
        <f t="shared" ca="1" si="64"/>
        <v>#VALUE!</v>
      </c>
      <c r="W181" s="185" t="e">
        <f t="shared" ca="1" si="64"/>
        <v>#VALUE!</v>
      </c>
      <c r="X181" s="185" t="e">
        <f t="shared" ca="1" si="64"/>
        <v>#VALUE!</v>
      </c>
      <c r="Y181" s="185" t="e">
        <f t="shared" ca="1" si="64"/>
        <v>#VALUE!</v>
      </c>
      <c r="Z181" s="185" t="e">
        <f t="shared" ca="1" si="64"/>
        <v>#VALUE!</v>
      </c>
      <c r="AA181" s="185" t="e">
        <f t="shared" ca="1" si="65"/>
        <v>#VALUE!</v>
      </c>
      <c r="AB181" s="185" t="e">
        <f t="shared" ca="1" si="65"/>
        <v>#VALUE!</v>
      </c>
      <c r="AC181" s="185" t="e">
        <f t="shared" ca="1" si="65"/>
        <v>#VALUE!</v>
      </c>
      <c r="AD181" s="185" t="e">
        <f t="shared" ca="1" si="65"/>
        <v>#VALUE!</v>
      </c>
      <c r="AE181" s="185" t="e">
        <f t="shared" ca="1" si="65"/>
        <v>#VALUE!</v>
      </c>
      <c r="AF181" s="185" t="e">
        <f t="shared" ca="1" si="65"/>
        <v>#VALUE!</v>
      </c>
      <c r="AG181" s="185" t="e">
        <f t="shared" ca="1" si="65"/>
        <v>#VALUE!</v>
      </c>
      <c r="AH181" s="185" t="e">
        <f t="shared" ca="1" si="65"/>
        <v>#VALUE!</v>
      </c>
      <c r="AI181" s="185" t="e">
        <f t="shared" ca="1" si="65"/>
        <v>#VALUE!</v>
      </c>
      <c r="AJ181" s="185" t="e">
        <f t="shared" ca="1" si="65"/>
        <v>#VALUE!</v>
      </c>
      <c r="AK181" s="185" t="e">
        <f t="shared" ca="1" si="65"/>
        <v>#VALUE!</v>
      </c>
      <c r="AL181" s="185" t="e">
        <f t="shared" ca="1" si="65"/>
        <v>#VALUE!</v>
      </c>
      <c r="AM181" s="185" t="e">
        <f t="shared" ca="1" si="65"/>
        <v>#VALUE!</v>
      </c>
      <c r="AN181" s="185" t="e">
        <f t="shared" ca="1" si="65"/>
        <v>#VALUE!</v>
      </c>
      <c r="AO181" s="185" t="e">
        <f t="shared" ca="1" si="65"/>
        <v>#VALUE!</v>
      </c>
      <c r="AP181" s="185" t="e">
        <f t="shared" ca="1" si="65"/>
        <v>#VALUE!</v>
      </c>
    </row>
    <row r="182" spans="1:42">
      <c r="A182" s="57" t="str">
        <f>'[4]TS BYDem'!A121</f>
        <v>*</v>
      </c>
      <c r="B182" s="185" t="s">
        <v>288</v>
      </c>
      <c r="C182" s="185" t="s">
        <v>137</v>
      </c>
      <c r="D182" s="185" t="str">
        <f>'[4]TS BYDem'!D121</f>
        <v>INME</v>
      </c>
      <c r="E182" s="185" t="s">
        <v>137</v>
      </c>
      <c r="F182" s="185" t="s">
        <v>137</v>
      </c>
      <c r="G182" s="185" t="s">
        <v>137</v>
      </c>
      <c r="H182" s="185" t="s">
        <v>137</v>
      </c>
      <c r="I182" s="185">
        <v>0</v>
      </c>
      <c r="J182" s="185" t="str">
        <f>INDEX('[4]TS BYDem'!$J$10:$J$203,MATCH(D182,'[4]TS BYDem'!$D$10:$D$203,0))</f>
        <v/>
      </c>
      <c r="K182" s="185" t="e">
        <f t="shared" ca="1" si="64"/>
        <v>#VALUE!</v>
      </c>
      <c r="L182" s="185" t="e">
        <f t="shared" ca="1" si="64"/>
        <v>#VALUE!</v>
      </c>
      <c r="M182" s="185" t="e">
        <f t="shared" ca="1" si="64"/>
        <v>#VALUE!</v>
      </c>
      <c r="N182" s="185" t="e">
        <f t="shared" ca="1" si="64"/>
        <v>#VALUE!</v>
      </c>
      <c r="O182" s="185" t="e">
        <f t="shared" ca="1" si="64"/>
        <v>#VALUE!</v>
      </c>
      <c r="P182" s="185" t="e">
        <f t="shared" ca="1" si="64"/>
        <v>#VALUE!</v>
      </c>
      <c r="Q182" s="185" t="e">
        <f t="shared" ca="1" si="64"/>
        <v>#VALUE!</v>
      </c>
      <c r="R182" s="185" t="e">
        <f t="shared" ca="1" si="64"/>
        <v>#VALUE!</v>
      </c>
      <c r="S182" s="185" t="e">
        <f t="shared" ca="1" si="64"/>
        <v>#VALUE!</v>
      </c>
      <c r="T182" s="185" t="e">
        <f t="shared" ca="1" si="64"/>
        <v>#VALUE!</v>
      </c>
      <c r="U182" s="185" t="e">
        <f t="shared" ca="1" si="64"/>
        <v>#VALUE!</v>
      </c>
      <c r="V182" s="185" t="e">
        <f t="shared" ca="1" si="64"/>
        <v>#VALUE!</v>
      </c>
      <c r="W182" s="185" t="e">
        <f t="shared" ca="1" si="64"/>
        <v>#VALUE!</v>
      </c>
      <c r="X182" s="185" t="e">
        <f t="shared" ca="1" si="64"/>
        <v>#VALUE!</v>
      </c>
      <c r="Y182" s="185" t="e">
        <f t="shared" ca="1" si="64"/>
        <v>#VALUE!</v>
      </c>
      <c r="Z182" s="185" t="e">
        <f t="shared" ca="1" si="64"/>
        <v>#VALUE!</v>
      </c>
      <c r="AA182" s="185" t="e">
        <f t="shared" ca="1" si="65"/>
        <v>#VALUE!</v>
      </c>
      <c r="AB182" s="185" t="e">
        <f t="shared" ca="1" si="65"/>
        <v>#VALUE!</v>
      </c>
      <c r="AC182" s="185" t="e">
        <f t="shared" ca="1" si="65"/>
        <v>#VALUE!</v>
      </c>
      <c r="AD182" s="185" t="e">
        <f t="shared" ca="1" si="65"/>
        <v>#VALUE!</v>
      </c>
      <c r="AE182" s="185" t="e">
        <f t="shared" ca="1" si="65"/>
        <v>#VALUE!</v>
      </c>
      <c r="AF182" s="185" t="e">
        <f t="shared" ca="1" si="65"/>
        <v>#VALUE!</v>
      </c>
      <c r="AG182" s="185" t="e">
        <f t="shared" ca="1" si="65"/>
        <v>#VALUE!</v>
      </c>
      <c r="AH182" s="185" t="e">
        <f t="shared" ca="1" si="65"/>
        <v>#VALUE!</v>
      </c>
      <c r="AI182" s="185" t="e">
        <f t="shared" ca="1" si="65"/>
        <v>#VALUE!</v>
      </c>
      <c r="AJ182" s="185" t="e">
        <f t="shared" ca="1" si="65"/>
        <v>#VALUE!</v>
      </c>
      <c r="AK182" s="185" t="e">
        <f t="shared" ca="1" si="65"/>
        <v>#VALUE!</v>
      </c>
      <c r="AL182" s="185" t="e">
        <f t="shared" ca="1" si="65"/>
        <v>#VALUE!</v>
      </c>
      <c r="AM182" s="185" t="e">
        <f t="shared" ca="1" si="65"/>
        <v>#VALUE!</v>
      </c>
      <c r="AN182" s="185" t="e">
        <f t="shared" ca="1" si="65"/>
        <v>#VALUE!</v>
      </c>
      <c r="AO182" s="185" t="e">
        <f t="shared" ca="1" si="65"/>
        <v>#VALUE!</v>
      </c>
      <c r="AP182" s="185" t="e">
        <f t="shared" ca="1" si="65"/>
        <v>#VALUE!</v>
      </c>
    </row>
    <row r="183" spans="1:42">
      <c r="A183" s="57" t="str">
        <f>'[4]TS BYDem'!A122</f>
        <v>*</v>
      </c>
      <c r="B183" s="185" t="s">
        <v>288</v>
      </c>
      <c r="C183" s="185" t="s">
        <v>137</v>
      </c>
      <c r="D183" s="185" t="str">
        <f>'[4]TS BYDem'!D122</f>
        <v xml:space="preserve"> </v>
      </c>
      <c r="E183" s="185" t="s">
        <v>137</v>
      </c>
      <c r="F183" s="185" t="s">
        <v>137</v>
      </c>
      <c r="G183" s="185" t="s">
        <v>137</v>
      </c>
      <c r="H183" s="185" t="s">
        <v>137</v>
      </c>
      <c r="I183" s="185">
        <v>0</v>
      </c>
      <c r="J183" s="185" t="str">
        <f>INDEX('[4]TS BYDem'!$J$10:$J$203,MATCH(D183,'[4]TS BYDem'!$D$10:$D$203,0))</f>
        <v/>
      </c>
      <c r="K183" s="185" t="e">
        <f t="shared" ca="1" si="64"/>
        <v>#VALUE!</v>
      </c>
      <c r="L183" s="185" t="e">
        <f t="shared" ca="1" si="64"/>
        <v>#VALUE!</v>
      </c>
      <c r="M183" s="185" t="e">
        <f t="shared" ca="1" si="64"/>
        <v>#VALUE!</v>
      </c>
      <c r="N183" s="185" t="e">
        <f t="shared" ca="1" si="64"/>
        <v>#VALUE!</v>
      </c>
      <c r="O183" s="185" t="e">
        <f t="shared" ca="1" si="64"/>
        <v>#VALUE!</v>
      </c>
      <c r="P183" s="185" t="e">
        <f t="shared" ca="1" si="64"/>
        <v>#VALUE!</v>
      </c>
      <c r="Q183" s="185" t="e">
        <f t="shared" ca="1" si="64"/>
        <v>#VALUE!</v>
      </c>
      <c r="R183" s="185" t="e">
        <f t="shared" ca="1" si="64"/>
        <v>#VALUE!</v>
      </c>
      <c r="S183" s="185" t="e">
        <f t="shared" ca="1" si="64"/>
        <v>#VALUE!</v>
      </c>
      <c r="T183" s="185" t="e">
        <f t="shared" ca="1" si="64"/>
        <v>#VALUE!</v>
      </c>
      <c r="U183" s="185" t="e">
        <f t="shared" ca="1" si="64"/>
        <v>#VALUE!</v>
      </c>
      <c r="V183" s="185" t="e">
        <f t="shared" ca="1" si="64"/>
        <v>#VALUE!</v>
      </c>
      <c r="W183" s="185" t="e">
        <f t="shared" ca="1" si="64"/>
        <v>#VALUE!</v>
      </c>
      <c r="X183" s="185" t="e">
        <f t="shared" ca="1" si="64"/>
        <v>#VALUE!</v>
      </c>
      <c r="Y183" s="185" t="e">
        <f t="shared" ca="1" si="64"/>
        <v>#VALUE!</v>
      </c>
      <c r="Z183" s="185" t="e">
        <f t="shared" ca="1" si="64"/>
        <v>#VALUE!</v>
      </c>
      <c r="AA183" s="185" t="e">
        <f t="shared" ca="1" si="65"/>
        <v>#VALUE!</v>
      </c>
      <c r="AB183" s="185" t="e">
        <f t="shared" ca="1" si="65"/>
        <v>#VALUE!</v>
      </c>
      <c r="AC183" s="185" t="e">
        <f t="shared" ca="1" si="65"/>
        <v>#VALUE!</v>
      </c>
      <c r="AD183" s="185" t="e">
        <f t="shared" ca="1" si="65"/>
        <v>#VALUE!</v>
      </c>
      <c r="AE183" s="185" t="e">
        <f t="shared" ca="1" si="65"/>
        <v>#VALUE!</v>
      </c>
      <c r="AF183" s="185" t="e">
        <f t="shared" ca="1" si="65"/>
        <v>#VALUE!</v>
      </c>
      <c r="AG183" s="185" t="e">
        <f t="shared" ca="1" si="65"/>
        <v>#VALUE!</v>
      </c>
      <c r="AH183" s="185" t="e">
        <f t="shared" ca="1" si="65"/>
        <v>#VALUE!</v>
      </c>
      <c r="AI183" s="185" t="e">
        <f t="shared" ca="1" si="65"/>
        <v>#VALUE!</v>
      </c>
      <c r="AJ183" s="185" t="e">
        <f t="shared" ca="1" si="65"/>
        <v>#VALUE!</v>
      </c>
      <c r="AK183" s="185" t="e">
        <f t="shared" ca="1" si="65"/>
        <v>#VALUE!</v>
      </c>
      <c r="AL183" s="185" t="e">
        <f t="shared" ca="1" si="65"/>
        <v>#VALUE!</v>
      </c>
      <c r="AM183" s="185" t="e">
        <f t="shared" ca="1" si="65"/>
        <v>#VALUE!</v>
      </c>
      <c r="AN183" s="185" t="e">
        <f t="shared" ca="1" si="65"/>
        <v>#VALUE!</v>
      </c>
      <c r="AO183" s="185" t="e">
        <f t="shared" ca="1" si="65"/>
        <v>#VALUE!</v>
      </c>
      <c r="AP183" s="185" t="e">
        <f t="shared" ca="1" si="65"/>
        <v>#VALUE!</v>
      </c>
    </row>
    <row r="184" spans="1:42">
      <c r="A184" s="57" t="str">
        <f>'[4]TS BYDem'!A123</f>
        <v>*</v>
      </c>
      <c r="B184" s="185" t="s">
        <v>288</v>
      </c>
      <c r="C184" s="185" t="s">
        <v>137</v>
      </c>
      <c r="D184" s="185" t="str">
        <f>'[4]TS BYDem'!D123</f>
        <v>INMS</v>
      </c>
      <c r="E184" s="185" t="s">
        <v>137</v>
      </c>
      <c r="F184" s="185" t="s">
        <v>137</v>
      </c>
      <c r="G184" s="185" t="s">
        <v>137</v>
      </c>
      <c r="H184" s="185" t="s">
        <v>137</v>
      </c>
      <c r="I184" s="185">
        <v>0</v>
      </c>
      <c r="J184" s="185" t="str">
        <f>INDEX('[4]TS BYDem'!$J$10:$J$203,MATCH(D184,'[4]TS BYDem'!$D$10:$D$203,0))</f>
        <v/>
      </c>
      <c r="K184" s="185" t="e">
        <f t="shared" ca="1" si="64"/>
        <v>#VALUE!</v>
      </c>
      <c r="L184" s="185" t="e">
        <f t="shared" ca="1" si="64"/>
        <v>#VALUE!</v>
      </c>
      <c r="M184" s="185" t="e">
        <f t="shared" ca="1" si="64"/>
        <v>#VALUE!</v>
      </c>
      <c r="N184" s="185" t="e">
        <f t="shared" ca="1" si="64"/>
        <v>#VALUE!</v>
      </c>
      <c r="O184" s="185" t="e">
        <f t="shared" ca="1" si="64"/>
        <v>#VALUE!</v>
      </c>
      <c r="P184" s="185" t="e">
        <f t="shared" ca="1" si="64"/>
        <v>#VALUE!</v>
      </c>
      <c r="Q184" s="185" t="e">
        <f t="shared" ca="1" si="64"/>
        <v>#VALUE!</v>
      </c>
      <c r="R184" s="185" t="e">
        <f t="shared" ca="1" si="64"/>
        <v>#VALUE!</v>
      </c>
      <c r="S184" s="185" t="e">
        <f t="shared" ca="1" si="64"/>
        <v>#VALUE!</v>
      </c>
      <c r="T184" s="185" t="e">
        <f t="shared" ca="1" si="64"/>
        <v>#VALUE!</v>
      </c>
      <c r="U184" s="185" t="e">
        <f t="shared" ca="1" si="64"/>
        <v>#VALUE!</v>
      </c>
      <c r="V184" s="185" t="e">
        <f t="shared" ca="1" si="64"/>
        <v>#VALUE!</v>
      </c>
      <c r="W184" s="185" t="e">
        <f t="shared" ca="1" si="64"/>
        <v>#VALUE!</v>
      </c>
      <c r="X184" s="185" t="e">
        <f t="shared" ca="1" si="64"/>
        <v>#VALUE!</v>
      </c>
      <c r="Y184" s="185" t="e">
        <f t="shared" ca="1" si="64"/>
        <v>#VALUE!</v>
      </c>
      <c r="Z184" s="185" t="e">
        <f t="shared" ca="1" si="64"/>
        <v>#VALUE!</v>
      </c>
      <c r="AA184" s="185" t="e">
        <f t="shared" ca="1" si="65"/>
        <v>#VALUE!</v>
      </c>
      <c r="AB184" s="185" t="e">
        <f t="shared" ca="1" si="65"/>
        <v>#VALUE!</v>
      </c>
      <c r="AC184" s="185" t="e">
        <f t="shared" ca="1" si="65"/>
        <v>#VALUE!</v>
      </c>
      <c r="AD184" s="185" t="e">
        <f t="shared" ca="1" si="65"/>
        <v>#VALUE!</v>
      </c>
      <c r="AE184" s="185" t="e">
        <f t="shared" ca="1" si="65"/>
        <v>#VALUE!</v>
      </c>
      <c r="AF184" s="185" t="e">
        <f t="shared" ca="1" si="65"/>
        <v>#VALUE!</v>
      </c>
      <c r="AG184" s="185" t="e">
        <f t="shared" ca="1" si="65"/>
        <v>#VALUE!</v>
      </c>
      <c r="AH184" s="185" t="e">
        <f t="shared" ca="1" si="65"/>
        <v>#VALUE!</v>
      </c>
      <c r="AI184" s="185" t="e">
        <f t="shared" ca="1" si="65"/>
        <v>#VALUE!</v>
      </c>
      <c r="AJ184" s="185" t="e">
        <f t="shared" ca="1" si="65"/>
        <v>#VALUE!</v>
      </c>
      <c r="AK184" s="185" t="e">
        <f t="shared" ca="1" si="65"/>
        <v>#VALUE!</v>
      </c>
      <c r="AL184" s="185" t="e">
        <f t="shared" ca="1" si="65"/>
        <v>#VALUE!</v>
      </c>
      <c r="AM184" s="185" t="e">
        <f t="shared" ca="1" si="65"/>
        <v>#VALUE!</v>
      </c>
      <c r="AN184" s="185" t="e">
        <f t="shared" ca="1" si="65"/>
        <v>#VALUE!</v>
      </c>
      <c r="AO184" s="185" t="e">
        <f t="shared" ca="1" si="65"/>
        <v>#VALUE!</v>
      </c>
      <c r="AP184" s="185" t="e">
        <f t="shared" ca="1" si="65"/>
        <v>#VALUE!</v>
      </c>
    </row>
    <row r="185" spans="1:42">
      <c r="A185" s="57" t="str">
        <f>'[4]TS BYDem'!A124</f>
        <v>*</v>
      </c>
      <c r="B185" s="185" t="s">
        <v>288</v>
      </c>
      <c r="C185" s="185" t="s">
        <v>137</v>
      </c>
      <c r="D185" s="185" t="str">
        <f>'[4]TS BYDem'!D124</f>
        <v>INMS</v>
      </c>
      <c r="E185" s="185" t="s">
        <v>137</v>
      </c>
      <c r="F185" s="185" t="s">
        <v>137</v>
      </c>
      <c r="G185" s="185" t="s">
        <v>137</v>
      </c>
      <c r="H185" s="185" t="s">
        <v>137</v>
      </c>
      <c r="I185" s="185">
        <v>0</v>
      </c>
      <c r="J185" s="185" t="str">
        <f>INDEX('[4]TS BYDem'!$J$10:$J$203,MATCH(D185,'[4]TS BYDem'!$D$10:$D$203,0))</f>
        <v/>
      </c>
      <c r="K185" s="185" t="e">
        <f t="shared" ca="1" si="64"/>
        <v>#VALUE!</v>
      </c>
      <c r="L185" s="185" t="e">
        <f t="shared" ca="1" si="64"/>
        <v>#VALUE!</v>
      </c>
      <c r="M185" s="185" t="e">
        <f t="shared" ca="1" si="64"/>
        <v>#VALUE!</v>
      </c>
      <c r="N185" s="185" t="e">
        <f t="shared" ca="1" si="64"/>
        <v>#VALUE!</v>
      </c>
      <c r="O185" s="185" t="e">
        <f t="shared" ca="1" si="64"/>
        <v>#VALUE!</v>
      </c>
      <c r="P185" s="185" t="e">
        <f t="shared" ca="1" si="64"/>
        <v>#VALUE!</v>
      </c>
      <c r="Q185" s="185" t="e">
        <f t="shared" ca="1" si="64"/>
        <v>#VALUE!</v>
      </c>
      <c r="R185" s="185" t="e">
        <f t="shared" ca="1" si="64"/>
        <v>#VALUE!</v>
      </c>
      <c r="S185" s="185" t="e">
        <f t="shared" ca="1" si="64"/>
        <v>#VALUE!</v>
      </c>
      <c r="T185" s="185" t="e">
        <f t="shared" ca="1" si="64"/>
        <v>#VALUE!</v>
      </c>
      <c r="U185" s="185" t="e">
        <f t="shared" ca="1" si="64"/>
        <v>#VALUE!</v>
      </c>
      <c r="V185" s="185" t="e">
        <f t="shared" ca="1" si="64"/>
        <v>#VALUE!</v>
      </c>
      <c r="W185" s="185" t="e">
        <f t="shared" ca="1" si="64"/>
        <v>#VALUE!</v>
      </c>
      <c r="X185" s="185" t="e">
        <f t="shared" ca="1" si="64"/>
        <v>#VALUE!</v>
      </c>
      <c r="Y185" s="185" t="e">
        <f t="shared" ca="1" si="64"/>
        <v>#VALUE!</v>
      </c>
      <c r="Z185" s="185" t="e">
        <f t="shared" ca="1" si="64"/>
        <v>#VALUE!</v>
      </c>
      <c r="AA185" s="185" t="e">
        <f t="shared" ca="1" si="65"/>
        <v>#VALUE!</v>
      </c>
      <c r="AB185" s="185" t="e">
        <f t="shared" ca="1" si="65"/>
        <v>#VALUE!</v>
      </c>
      <c r="AC185" s="185" t="e">
        <f t="shared" ca="1" si="65"/>
        <v>#VALUE!</v>
      </c>
      <c r="AD185" s="185" t="e">
        <f t="shared" ca="1" si="65"/>
        <v>#VALUE!</v>
      </c>
      <c r="AE185" s="185" t="e">
        <f t="shared" ca="1" si="65"/>
        <v>#VALUE!</v>
      </c>
      <c r="AF185" s="185" t="e">
        <f t="shared" ca="1" si="65"/>
        <v>#VALUE!</v>
      </c>
      <c r="AG185" s="185" t="e">
        <f t="shared" ca="1" si="65"/>
        <v>#VALUE!</v>
      </c>
      <c r="AH185" s="185" t="e">
        <f t="shared" ca="1" si="65"/>
        <v>#VALUE!</v>
      </c>
      <c r="AI185" s="185" t="e">
        <f t="shared" ca="1" si="65"/>
        <v>#VALUE!</v>
      </c>
      <c r="AJ185" s="185" t="e">
        <f t="shared" ca="1" si="65"/>
        <v>#VALUE!</v>
      </c>
      <c r="AK185" s="185" t="e">
        <f t="shared" ca="1" si="65"/>
        <v>#VALUE!</v>
      </c>
      <c r="AL185" s="185" t="e">
        <f t="shared" ca="1" si="65"/>
        <v>#VALUE!</v>
      </c>
      <c r="AM185" s="185" t="e">
        <f t="shared" ca="1" si="65"/>
        <v>#VALUE!</v>
      </c>
      <c r="AN185" s="185" t="e">
        <f t="shared" ca="1" si="65"/>
        <v>#VALUE!</v>
      </c>
      <c r="AO185" s="185" t="e">
        <f t="shared" ca="1" si="65"/>
        <v>#VALUE!</v>
      </c>
      <c r="AP185" s="185" t="e">
        <f t="shared" ca="1" si="65"/>
        <v>#VALUE!</v>
      </c>
    </row>
    <row r="186" spans="1:42">
      <c r="A186" s="57" t="str">
        <f>'[4]TS BYDem'!A125</f>
        <v>*</v>
      </c>
      <c r="B186" s="185" t="s">
        <v>288</v>
      </c>
      <c r="C186" s="185" t="s">
        <v>137</v>
      </c>
      <c r="D186" s="185" t="str">
        <f>'[4]TS BYDem'!D125</f>
        <v>INMS</v>
      </c>
      <c r="E186" s="185" t="s">
        <v>137</v>
      </c>
      <c r="F186" s="185" t="s">
        <v>137</v>
      </c>
      <c r="G186" s="185" t="s">
        <v>137</v>
      </c>
      <c r="H186" s="185" t="s">
        <v>137</v>
      </c>
      <c r="I186" s="185">
        <v>0</v>
      </c>
      <c r="J186" s="185" t="str">
        <f>INDEX('[4]TS BYDem'!$J$10:$J$203,MATCH(D186,'[4]TS BYDem'!$D$10:$D$203,0))</f>
        <v/>
      </c>
      <c r="K186" s="185" t="e">
        <f t="shared" ca="1" si="64"/>
        <v>#VALUE!</v>
      </c>
      <c r="L186" s="185" t="e">
        <f t="shared" ca="1" si="64"/>
        <v>#VALUE!</v>
      </c>
      <c r="M186" s="185" t="e">
        <f t="shared" ca="1" si="64"/>
        <v>#VALUE!</v>
      </c>
      <c r="N186" s="185" t="e">
        <f t="shared" ca="1" si="64"/>
        <v>#VALUE!</v>
      </c>
      <c r="O186" s="185" t="e">
        <f t="shared" ca="1" si="64"/>
        <v>#VALUE!</v>
      </c>
      <c r="P186" s="185" t="e">
        <f t="shared" ca="1" si="64"/>
        <v>#VALUE!</v>
      </c>
      <c r="Q186" s="185" t="e">
        <f t="shared" ca="1" si="64"/>
        <v>#VALUE!</v>
      </c>
      <c r="R186" s="185" t="e">
        <f t="shared" ca="1" si="64"/>
        <v>#VALUE!</v>
      </c>
      <c r="S186" s="185" t="e">
        <f t="shared" ca="1" si="64"/>
        <v>#VALUE!</v>
      </c>
      <c r="T186" s="185" t="e">
        <f t="shared" ca="1" si="64"/>
        <v>#VALUE!</v>
      </c>
      <c r="U186" s="185" t="e">
        <f t="shared" ca="1" si="64"/>
        <v>#VALUE!</v>
      </c>
      <c r="V186" s="185" t="e">
        <f t="shared" ca="1" si="64"/>
        <v>#VALUE!</v>
      </c>
      <c r="W186" s="185" t="e">
        <f t="shared" ca="1" si="64"/>
        <v>#VALUE!</v>
      </c>
      <c r="X186" s="185" t="e">
        <f t="shared" ca="1" si="64"/>
        <v>#VALUE!</v>
      </c>
      <c r="Y186" s="185" t="e">
        <f t="shared" ca="1" si="64"/>
        <v>#VALUE!</v>
      </c>
      <c r="Z186" s="185" t="e">
        <f t="shared" ca="1" si="64"/>
        <v>#VALUE!</v>
      </c>
      <c r="AA186" s="185" t="e">
        <f t="shared" ca="1" si="65"/>
        <v>#VALUE!</v>
      </c>
      <c r="AB186" s="185" t="e">
        <f t="shared" ca="1" si="65"/>
        <v>#VALUE!</v>
      </c>
      <c r="AC186" s="185" t="e">
        <f t="shared" ca="1" si="65"/>
        <v>#VALUE!</v>
      </c>
      <c r="AD186" s="185" t="e">
        <f t="shared" ca="1" si="65"/>
        <v>#VALUE!</v>
      </c>
      <c r="AE186" s="185" t="e">
        <f t="shared" ca="1" si="65"/>
        <v>#VALUE!</v>
      </c>
      <c r="AF186" s="185" t="e">
        <f t="shared" ca="1" si="65"/>
        <v>#VALUE!</v>
      </c>
      <c r="AG186" s="185" t="e">
        <f t="shared" ca="1" si="65"/>
        <v>#VALUE!</v>
      </c>
      <c r="AH186" s="185" t="e">
        <f t="shared" ca="1" si="65"/>
        <v>#VALUE!</v>
      </c>
      <c r="AI186" s="185" t="e">
        <f t="shared" ca="1" si="65"/>
        <v>#VALUE!</v>
      </c>
      <c r="AJ186" s="185" t="e">
        <f t="shared" ca="1" si="65"/>
        <v>#VALUE!</v>
      </c>
      <c r="AK186" s="185" t="e">
        <f t="shared" ca="1" si="65"/>
        <v>#VALUE!</v>
      </c>
      <c r="AL186" s="185" t="e">
        <f t="shared" ca="1" si="65"/>
        <v>#VALUE!</v>
      </c>
      <c r="AM186" s="185" t="e">
        <f t="shared" ca="1" si="65"/>
        <v>#VALUE!</v>
      </c>
      <c r="AN186" s="185" t="e">
        <f t="shared" ca="1" si="65"/>
        <v>#VALUE!</v>
      </c>
      <c r="AO186" s="185" t="e">
        <f t="shared" ca="1" si="65"/>
        <v>#VALUE!</v>
      </c>
      <c r="AP186" s="185" t="e">
        <f t="shared" ca="1" si="65"/>
        <v>#VALUE!</v>
      </c>
    </row>
    <row r="187" spans="1:42">
      <c r="A187" s="57" t="str">
        <f>'[4]TS BYDem'!A126</f>
        <v>*</v>
      </c>
      <c r="B187" s="185" t="s">
        <v>288</v>
      </c>
      <c r="C187" s="185" t="s">
        <v>137</v>
      </c>
      <c r="D187" s="185" t="str">
        <f>'[4]TS BYDem'!D126</f>
        <v>INMS</v>
      </c>
      <c r="E187" s="185" t="s">
        <v>137</v>
      </c>
      <c r="F187" s="185" t="s">
        <v>137</v>
      </c>
      <c r="G187" s="185" t="s">
        <v>137</v>
      </c>
      <c r="H187" s="185" t="s">
        <v>137</v>
      </c>
      <c r="I187" s="185">
        <v>0</v>
      </c>
      <c r="J187" s="185" t="str">
        <f>INDEX('[4]TS BYDem'!$J$10:$J$203,MATCH(D187,'[4]TS BYDem'!$D$10:$D$203,0))</f>
        <v/>
      </c>
      <c r="K187" s="185" t="e">
        <f t="shared" ca="1" si="64"/>
        <v>#VALUE!</v>
      </c>
      <c r="L187" s="185" t="e">
        <f t="shared" ca="1" si="64"/>
        <v>#VALUE!</v>
      </c>
      <c r="M187" s="185" t="e">
        <f t="shared" ca="1" si="64"/>
        <v>#VALUE!</v>
      </c>
      <c r="N187" s="185" t="e">
        <f t="shared" ca="1" si="64"/>
        <v>#VALUE!</v>
      </c>
      <c r="O187" s="185" t="e">
        <f t="shared" ca="1" si="64"/>
        <v>#VALUE!</v>
      </c>
      <c r="P187" s="185" t="e">
        <f t="shared" ca="1" si="64"/>
        <v>#VALUE!</v>
      </c>
      <c r="Q187" s="185" t="e">
        <f t="shared" ca="1" si="64"/>
        <v>#VALUE!</v>
      </c>
      <c r="R187" s="185" t="e">
        <f t="shared" ca="1" si="64"/>
        <v>#VALUE!</v>
      </c>
      <c r="S187" s="185" t="e">
        <f t="shared" ca="1" si="64"/>
        <v>#VALUE!</v>
      </c>
      <c r="T187" s="185" t="e">
        <f t="shared" ca="1" si="64"/>
        <v>#VALUE!</v>
      </c>
      <c r="U187" s="185" t="e">
        <f t="shared" ca="1" si="64"/>
        <v>#VALUE!</v>
      </c>
      <c r="V187" s="185" t="e">
        <f t="shared" ca="1" si="64"/>
        <v>#VALUE!</v>
      </c>
      <c r="W187" s="185" t="e">
        <f t="shared" ca="1" si="64"/>
        <v>#VALUE!</v>
      </c>
      <c r="X187" s="185" t="e">
        <f t="shared" ca="1" si="64"/>
        <v>#VALUE!</v>
      </c>
      <c r="Y187" s="185" t="e">
        <f t="shared" ca="1" si="64"/>
        <v>#VALUE!</v>
      </c>
      <c r="Z187" s="185" t="e">
        <f t="shared" ca="1" si="64"/>
        <v>#VALUE!</v>
      </c>
      <c r="AA187" s="185" t="e">
        <f t="shared" ca="1" si="65"/>
        <v>#VALUE!</v>
      </c>
      <c r="AB187" s="185" t="e">
        <f t="shared" ca="1" si="65"/>
        <v>#VALUE!</v>
      </c>
      <c r="AC187" s="185" t="e">
        <f t="shared" ca="1" si="65"/>
        <v>#VALUE!</v>
      </c>
      <c r="AD187" s="185" t="e">
        <f t="shared" ca="1" si="65"/>
        <v>#VALUE!</v>
      </c>
      <c r="AE187" s="185" t="e">
        <f t="shared" ca="1" si="65"/>
        <v>#VALUE!</v>
      </c>
      <c r="AF187" s="185" t="e">
        <f t="shared" ca="1" si="65"/>
        <v>#VALUE!</v>
      </c>
      <c r="AG187" s="185" t="e">
        <f t="shared" ca="1" si="65"/>
        <v>#VALUE!</v>
      </c>
      <c r="AH187" s="185" t="e">
        <f t="shared" ca="1" si="65"/>
        <v>#VALUE!</v>
      </c>
      <c r="AI187" s="185" t="e">
        <f t="shared" ca="1" si="65"/>
        <v>#VALUE!</v>
      </c>
      <c r="AJ187" s="185" t="e">
        <f t="shared" ca="1" si="65"/>
        <v>#VALUE!</v>
      </c>
      <c r="AK187" s="185" t="e">
        <f t="shared" ca="1" si="65"/>
        <v>#VALUE!</v>
      </c>
      <c r="AL187" s="185" t="e">
        <f t="shared" ca="1" si="65"/>
        <v>#VALUE!</v>
      </c>
      <c r="AM187" s="185" t="e">
        <f t="shared" ca="1" si="65"/>
        <v>#VALUE!</v>
      </c>
      <c r="AN187" s="185" t="e">
        <f t="shared" ca="1" si="65"/>
        <v>#VALUE!</v>
      </c>
      <c r="AO187" s="185" t="e">
        <f t="shared" ca="1" si="65"/>
        <v>#VALUE!</v>
      </c>
      <c r="AP187" s="185" t="e">
        <f t="shared" ca="1" si="65"/>
        <v>#VALUE!</v>
      </c>
    </row>
    <row r="188" spans="1:42">
      <c r="A188" s="57" t="str">
        <f>'[4]TS BYDem'!A127</f>
        <v>*</v>
      </c>
      <c r="B188" s="185" t="s">
        <v>288</v>
      </c>
      <c r="C188" s="185" t="s">
        <v>137</v>
      </c>
      <c r="D188" s="185" t="str">
        <f>'[4]TS BYDem'!D127</f>
        <v>INMS</v>
      </c>
      <c r="E188" s="185" t="s">
        <v>137</v>
      </c>
      <c r="F188" s="185" t="s">
        <v>137</v>
      </c>
      <c r="G188" s="185" t="s">
        <v>137</v>
      </c>
      <c r="H188" s="185" t="s">
        <v>137</v>
      </c>
      <c r="I188" s="185">
        <v>0</v>
      </c>
      <c r="J188" s="185" t="str">
        <f>INDEX('[4]TS BYDem'!$J$10:$J$203,MATCH(D188,'[4]TS BYDem'!$D$10:$D$203,0))</f>
        <v/>
      </c>
      <c r="K188" s="185" t="e">
        <f t="shared" ca="1" si="64"/>
        <v>#VALUE!</v>
      </c>
      <c r="L188" s="185" t="e">
        <f t="shared" ca="1" si="64"/>
        <v>#VALUE!</v>
      </c>
      <c r="M188" s="185" t="e">
        <f t="shared" ca="1" si="64"/>
        <v>#VALUE!</v>
      </c>
      <c r="N188" s="185" t="e">
        <f t="shared" ca="1" si="64"/>
        <v>#VALUE!</v>
      </c>
      <c r="O188" s="185" t="e">
        <f t="shared" ca="1" si="64"/>
        <v>#VALUE!</v>
      </c>
      <c r="P188" s="185" t="e">
        <f t="shared" ca="1" si="64"/>
        <v>#VALUE!</v>
      </c>
      <c r="Q188" s="185" t="e">
        <f t="shared" ca="1" si="64"/>
        <v>#VALUE!</v>
      </c>
      <c r="R188" s="185" t="e">
        <f t="shared" ca="1" si="64"/>
        <v>#VALUE!</v>
      </c>
      <c r="S188" s="185" t="e">
        <f t="shared" ca="1" si="64"/>
        <v>#VALUE!</v>
      </c>
      <c r="T188" s="185" t="e">
        <f t="shared" ca="1" si="64"/>
        <v>#VALUE!</v>
      </c>
      <c r="U188" s="185" t="e">
        <f t="shared" ca="1" si="64"/>
        <v>#VALUE!</v>
      </c>
      <c r="V188" s="185" t="e">
        <f t="shared" ca="1" si="64"/>
        <v>#VALUE!</v>
      </c>
      <c r="W188" s="185" t="e">
        <f t="shared" ca="1" si="64"/>
        <v>#VALUE!</v>
      </c>
      <c r="X188" s="185" t="e">
        <f t="shared" ca="1" si="64"/>
        <v>#VALUE!</v>
      </c>
      <c r="Y188" s="185" t="e">
        <f t="shared" ca="1" si="64"/>
        <v>#VALUE!</v>
      </c>
      <c r="Z188" s="185" t="e">
        <f t="shared" ca="1" si="64"/>
        <v>#VALUE!</v>
      </c>
      <c r="AA188" s="185" t="e">
        <f t="shared" ca="1" si="65"/>
        <v>#VALUE!</v>
      </c>
      <c r="AB188" s="185" t="e">
        <f t="shared" ca="1" si="65"/>
        <v>#VALUE!</v>
      </c>
      <c r="AC188" s="185" t="e">
        <f t="shared" ca="1" si="65"/>
        <v>#VALUE!</v>
      </c>
      <c r="AD188" s="185" t="e">
        <f t="shared" ca="1" si="65"/>
        <v>#VALUE!</v>
      </c>
      <c r="AE188" s="185" t="e">
        <f t="shared" ca="1" si="65"/>
        <v>#VALUE!</v>
      </c>
      <c r="AF188" s="185" t="e">
        <f t="shared" ca="1" si="65"/>
        <v>#VALUE!</v>
      </c>
      <c r="AG188" s="185" t="e">
        <f t="shared" ca="1" si="65"/>
        <v>#VALUE!</v>
      </c>
      <c r="AH188" s="185" t="e">
        <f t="shared" ca="1" si="65"/>
        <v>#VALUE!</v>
      </c>
      <c r="AI188" s="185" t="e">
        <f t="shared" ca="1" si="65"/>
        <v>#VALUE!</v>
      </c>
      <c r="AJ188" s="185" t="e">
        <f t="shared" ca="1" si="65"/>
        <v>#VALUE!</v>
      </c>
      <c r="AK188" s="185" t="e">
        <f t="shared" ca="1" si="65"/>
        <v>#VALUE!</v>
      </c>
      <c r="AL188" s="185" t="e">
        <f t="shared" ca="1" si="65"/>
        <v>#VALUE!</v>
      </c>
      <c r="AM188" s="185" t="e">
        <f t="shared" ca="1" si="65"/>
        <v>#VALUE!</v>
      </c>
      <c r="AN188" s="185" t="e">
        <f t="shared" ca="1" si="65"/>
        <v>#VALUE!</v>
      </c>
      <c r="AO188" s="185" t="e">
        <f t="shared" ca="1" si="65"/>
        <v>#VALUE!</v>
      </c>
      <c r="AP188" s="185" t="e">
        <f t="shared" ca="1" si="65"/>
        <v>#VALUE!</v>
      </c>
    </row>
    <row r="189" spans="1:42">
      <c r="A189" s="57" t="str">
        <f>'[4]TS BYDem'!A128</f>
        <v>*</v>
      </c>
      <c r="B189" s="185" t="s">
        <v>288</v>
      </c>
      <c r="C189" s="185" t="s">
        <v>137</v>
      </c>
      <c r="D189" s="185" t="str">
        <f>'[4]TS BYDem'!D128</f>
        <v>INMS</v>
      </c>
      <c r="E189" s="185" t="s">
        <v>137</v>
      </c>
      <c r="F189" s="185" t="s">
        <v>137</v>
      </c>
      <c r="G189" s="185" t="s">
        <v>137</v>
      </c>
      <c r="H189" s="185" t="s">
        <v>137</v>
      </c>
      <c r="I189" s="185">
        <v>0</v>
      </c>
      <c r="J189" s="185" t="str">
        <f>INDEX('[4]TS BYDem'!$J$10:$J$203,MATCH(D189,'[4]TS BYDem'!$D$10:$D$203,0))</f>
        <v/>
      </c>
      <c r="K189" s="185" t="e">
        <f t="shared" ca="1" si="64"/>
        <v>#VALUE!</v>
      </c>
      <c r="L189" s="185" t="e">
        <f t="shared" ca="1" si="64"/>
        <v>#VALUE!</v>
      </c>
      <c r="M189" s="185" t="e">
        <f t="shared" ca="1" si="64"/>
        <v>#VALUE!</v>
      </c>
      <c r="N189" s="185" t="e">
        <f t="shared" ca="1" si="64"/>
        <v>#VALUE!</v>
      </c>
      <c r="O189" s="185" t="e">
        <f t="shared" ca="1" si="64"/>
        <v>#VALUE!</v>
      </c>
      <c r="P189" s="185" t="e">
        <f t="shared" ca="1" si="64"/>
        <v>#VALUE!</v>
      </c>
      <c r="Q189" s="185" t="e">
        <f t="shared" ca="1" si="64"/>
        <v>#VALUE!</v>
      </c>
      <c r="R189" s="185" t="e">
        <f t="shared" ca="1" si="64"/>
        <v>#VALUE!</v>
      </c>
      <c r="S189" s="185" t="e">
        <f t="shared" ca="1" si="64"/>
        <v>#VALUE!</v>
      </c>
      <c r="T189" s="185" t="e">
        <f t="shared" ca="1" si="64"/>
        <v>#VALUE!</v>
      </c>
      <c r="U189" s="185" t="e">
        <f t="shared" ca="1" si="64"/>
        <v>#VALUE!</v>
      </c>
      <c r="V189" s="185" t="e">
        <f t="shared" ca="1" si="64"/>
        <v>#VALUE!</v>
      </c>
      <c r="W189" s="185" t="e">
        <f t="shared" ca="1" si="64"/>
        <v>#VALUE!</v>
      </c>
      <c r="X189" s="185" t="e">
        <f t="shared" ca="1" si="64"/>
        <v>#VALUE!</v>
      </c>
      <c r="Y189" s="185" t="e">
        <f t="shared" ca="1" si="64"/>
        <v>#VALUE!</v>
      </c>
      <c r="Z189" s="185" t="e">
        <f t="shared" ref="Z189:AO189" ca="1" si="66">Z$173/Y$173*Y189</f>
        <v>#VALUE!</v>
      </c>
      <c r="AA189" s="185" t="e">
        <f t="shared" ca="1" si="66"/>
        <v>#VALUE!</v>
      </c>
      <c r="AB189" s="185" t="e">
        <f t="shared" ca="1" si="66"/>
        <v>#VALUE!</v>
      </c>
      <c r="AC189" s="185" t="e">
        <f t="shared" ca="1" si="66"/>
        <v>#VALUE!</v>
      </c>
      <c r="AD189" s="185" t="e">
        <f t="shared" ca="1" si="66"/>
        <v>#VALUE!</v>
      </c>
      <c r="AE189" s="185" t="e">
        <f t="shared" ca="1" si="66"/>
        <v>#VALUE!</v>
      </c>
      <c r="AF189" s="185" t="e">
        <f t="shared" ca="1" si="66"/>
        <v>#VALUE!</v>
      </c>
      <c r="AG189" s="185" t="e">
        <f t="shared" ca="1" si="66"/>
        <v>#VALUE!</v>
      </c>
      <c r="AH189" s="185" t="e">
        <f t="shared" ca="1" si="66"/>
        <v>#VALUE!</v>
      </c>
      <c r="AI189" s="185" t="e">
        <f t="shared" ca="1" si="66"/>
        <v>#VALUE!</v>
      </c>
      <c r="AJ189" s="185" t="e">
        <f t="shared" ca="1" si="66"/>
        <v>#VALUE!</v>
      </c>
      <c r="AK189" s="185" t="e">
        <f t="shared" ca="1" si="66"/>
        <v>#VALUE!</v>
      </c>
      <c r="AL189" s="185" t="e">
        <f t="shared" ca="1" si="66"/>
        <v>#VALUE!</v>
      </c>
      <c r="AM189" s="185" t="e">
        <f t="shared" ca="1" si="66"/>
        <v>#VALUE!</v>
      </c>
      <c r="AN189" s="185" t="e">
        <f t="shared" ca="1" si="66"/>
        <v>#VALUE!</v>
      </c>
      <c r="AO189" s="185" t="e">
        <f t="shared" ca="1" si="66"/>
        <v>#VALUE!</v>
      </c>
      <c r="AP189" s="185" t="e">
        <f t="shared" ca="1" si="65"/>
        <v>#VALUE!</v>
      </c>
    </row>
    <row r="190" spans="1:42">
      <c r="A190" s="57" t="str">
        <f>'[4]TS BYDem'!A129</f>
        <v>*</v>
      </c>
      <c r="B190" s="185" t="s">
        <v>288</v>
      </c>
      <c r="C190" s="185" t="s">
        <v>137</v>
      </c>
      <c r="D190" s="185" t="str">
        <f>'[4]TS BYDem'!D129</f>
        <v>Useful Energy Service</v>
      </c>
      <c r="E190" s="185" t="s">
        <v>137</v>
      </c>
      <c r="F190" s="185" t="s">
        <v>137</v>
      </c>
      <c r="G190" s="185" t="s">
        <v>137</v>
      </c>
      <c r="H190" s="185" t="s">
        <v>137</v>
      </c>
      <c r="I190" s="185">
        <v>0</v>
      </c>
      <c r="J190" s="185" t="str">
        <f>INDEX('[4]TS BYDem'!$J$10:$J$203,MATCH(D190,'[4]TS BYDem'!$D$10:$D$203,0))</f>
        <v/>
      </c>
    </row>
    <row r="191" spans="1:42">
      <c r="A191" s="57" t="str">
        <f>'[4]TS BYDem'!A130</f>
        <v>*</v>
      </c>
      <c r="B191" s="185" t="s">
        <v>288</v>
      </c>
      <c r="C191" s="185" t="s">
        <v>137</v>
      </c>
      <c r="D191" s="185">
        <f>'[4]TS BYDem'!D130</f>
        <v>0</v>
      </c>
      <c r="E191" s="185" t="s">
        <v>137</v>
      </c>
      <c r="F191" s="185" t="s">
        <v>137</v>
      </c>
      <c r="G191" s="185" t="s">
        <v>137</v>
      </c>
      <c r="H191" s="185" t="s">
        <v>137</v>
      </c>
      <c r="I191" s="185">
        <v>0</v>
      </c>
      <c r="J191" s="185" t="str">
        <f>INDEX('[4]TS BYDem'!$J$10:$J$203,MATCH(D191,'[4]TS BYDem'!$D$10:$D$203,0))</f>
        <v/>
      </c>
    </row>
    <row r="192" spans="1:42" s="5" customFormat="1">
      <c r="A192" s="57" t="str">
        <f>'[4]TS BYDem'!A127</f>
        <v>*</v>
      </c>
      <c r="B192" s="5">
        <v>10</v>
      </c>
      <c r="C192" s="3" t="str">
        <f ca="1">OFFSET($C$9,$B192,0)</f>
        <v>Food, Beverage &amp; Tabacco</v>
      </c>
      <c r="D192" s="3" t="str">
        <f ca="1">OFFSET($B$9,$B192,0)</f>
        <v>FB</v>
      </c>
      <c r="J192" s="5">
        <f ca="1">SUMIF($B$10:$B$22,$D192,J$10:J$22)*SUMIF($B$10:$B$22,$D192,J$41:J$53)</f>
        <v>93.1</v>
      </c>
      <c r="K192" s="5">
        <f t="shared" ref="K192:AP192" ca="1" si="67">SUMIF($B$10:$B$22,$D192,K$10:K$22)*SUMIF($B$10:$B$22,$D192,K$41:K$53)</f>
        <v>94.81</v>
      </c>
      <c r="L192" s="5">
        <f t="shared" ca="1" si="67"/>
        <v>96.04</v>
      </c>
      <c r="M192" s="5">
        <f t="shared" ca="1" si="67"/>
        <v>96.13</v>
      </c>
      <c r="N192" s="5">
        <f t="shared" ca="1" si="67"/>
        <v>97.44</v>
      </c>
      <c r="O192" s="5">
        <f t="shared" ca="1" si="67"/>
        <v>97.81</v>
      </c>
      <c r="P192" s="5">
        <f t="shared" ca="1" si="67"/>
        <v>98.48</v>
      </c>
      <c r="Q192" s="5">
        <f t="shared" ca="1" si="67"/>
        <v>97.71</v>
      </c>
      <c r="R192" s="5">
        <f t="shared" ca="1" si="67"/>
        <v>92.79</v>
      </c>
      <c r="S192" s="5">
        <f t="shared" ca="1" si="67"/>
        <v>95.58</v>
      </c>
      <c r="T192" s="5">
        <f t="shared" ca="1" si="67"/>
        <v>98.13</v>
      </c>
      <c r="U192" s="5">
        <f t="shared" ca="1" si="67"/>
        <v>100.22</v>
      </c>
      <c r="V192" s="5">
        <f t="shared" ca="1" si="67"/>
        <v>102.18</v>
      </c>
      <c r="W192" s="5">
        <f t="shared" ca="1" si="67"/>
        <v>104.28</v>
      </c>
      <c r="X192" s="5">
        <f t="shared" ca="1" si="67"/>
        <v>107.16</v>
      </c>
      <c r="Y192" s="5">
        <f t="shared" ca="1" si="67"/>
        <v>109.9</v>
      </c>
      <c r="Z192" s="5">
        <f t="shared" ca="1" si="67"/>
        <v>112.65</v>
      </c>
      <c r="AA192" s="5">
        <f t="shared" ca="1" si="67"/>
        <v>115.22</v>
      </c>
      <c r="AB192" s="5">
        <f t="shared" ca="1" si="67"/>
        <v>117.84</v>
      </c>
      <c r="AC192" s="5">
        <f t="shared" ca="1" si="67"/>
        <v>120.44</v>
      </c>
      <c r="AD192" s="5">
        <f t="shared" ca="1" si="67"/>
        <v>122.85</v>
      </c>
      <c r="AE192" s="5">
        <f t="shared" ca="1" si="67"/>
        <v>125.47</v>
      </c>
      <c r="AF192" s="5">
        <f t="shared" ca="1" si="67"/>
        <v>128.21</v>
      </c>
      <c r="AG192" s="5">
        <f t="shared" ca="1" si="67"/>
        <v>131.01</v>
      </c>
      <c r="AH192" s="5">
        <f t="shared" ca="1" si="67"/>
        <v>134.12</v>
      </c>
      <c r="AI192" s="5">
        <f t="shared" ca="1" si="67"/>
        <v>137.33000000000001</v>
      </c>
      <c r="AJ192" s="5">
        <f t="shared" ca="1" si="67"/>
        <v>140.49</v>
      </c>
      <c r="AK192" s="5">
        <f t="shared" ca="1" si="67"/>
        <v>143.72</v>
      </c>
      <c r="AL192" s="5">
        <f t="shared" ca="1" si="67"/>
        <v>147.09</v>
      </c>
      <c r="AM192" s="5">
        <f t="shared" ca="1" si="67"/>
        <v>164.01</v>
      </c>
      <c r="AN192" s="5">
        <f t="shared" ca="1" si="67"/>
        <v>184.39</v>
      </c>
      <c r="AO192" s="5">
        <f t="shared" ca="1" si="67"/>
        <v>221.11333333333278</v>
      </c>
      <c r="AP192" s="5">
        <f t="shared" ca="1" si="67"/>
        <v>258.41333333333296</v>
      </c>
    </row>
    <row r="193" spans="1:42">
      <c r="A193" s="57" t="str">
        <f>'[4]TS BYDem'!A132</f>
        <v/>
      </c>
      <c r="B193" s="185" t="s">
        <v>288</v>
      </c>
      <c r="C193" s="185" t="s">
        <v>137</v>
      </c>
      <c r="D193" s="185" t="str">
        <f>'[4]TS BYDem'!D132</f>
        <v>IFBK</v>
      </c>
      <c r="E193" s="185" t="s">
        <v>137</v>
      </c>
      <c r="F193" s="185" t="s">
        <v>137</v>
      </c>
      <c r="G193" s="185" t="s">
        <v>137</v>
      </c>
      <c r="H193" s="185" t="s">
        <v>137</v>
      </c>
      <c r="I193" s="185">
        <v>0</v>
      </c>
      <c r="J193" s="185">
        <f>INDEX('[4]TS BYDem'!$J$10:$J$203,MATCH(D193,'[4]TS BYDem'!$D$10:$D$203,0))</f>
        <v>1.1176071642017353</v>
      </c>
      <c r="K193" s="185">
        <f t="shared" ref="K193:Z208" ca="1" si="68">K$192/J$192*J193</f>
        <v>1.1381346427278896</v>
      </c>
      <c r="L193" s="185">
        <f t="shared" ca="1" si="68"/>
        <v>1.1529000220186323</v>
      </c>
      <c r="M193" s="192">
        <f t="shared" ref="M193:M201" si="69">O193</f>
        <v>1.04664</v>
      </c>
      <c r="N193" s="192">
        <f t="shared" ref="N193:N201" si="70">O193</f>
        <v>1.04664</v>
      </c>
      <c r="O193" s="192">
        <f>INDEX('[4]TS BYDem'!$O$10:$O$203,MATCH(D193,'[4]TS BYDem'!$D$10:$D$203,0))</f>
        <v>1.04664</v>
      </c>
      <c r="P193" s="185">
        <f t="shared" ca="1" si="68"/>
        <v>1.0538095000511196</v>
      </c>
      <c r="Q193" s="185">
        <f t="shared" ca="1" si="68"/>
        <v>1.0455699253655044</v>
      </c>
      <c r="R193" s="185">
        <f t="shared" ca="1" si="68"/>
        <v>0.99292225334832829</v>
      </c>
      <c r="S193" s="185">
        <f t="shared" ca="1" si="68"/>
        <v>1.0227773356507512</v>
      </c>
      <c r="T193" s="185">
        <f t="shared" ca="1" si="68"/>
        <v>1.0500642388303851</v>
      </c>
      <c r="U193" s="185">
        <f t="shared" ca="1" si="68"/>
        <v>1.0724287986913401</v>
      </c>
      <c r="V193" s="185">
        <f t="shared" ca="1" si="68"/>
        <v>1.093402261527451</v>
      </c>
      <c r="W193" s="185">
        <f t="shared" ca="1" si="68"/>
        <v>1.1158738288518555</v>
      </c>
      <c r="X193" s="185">
        <f t="shared" ca="1" si="68"/>
        <v>1.1466919783253244</v>
      </c>
      <c r="Y193" s="185">
        <f t="shared" ca="1" si="68"/>
        <v>1.1760120233104998</v>
      </c>
      <c r="Z193" s="185">
        <f t="shared" ca="1" si="68"/>
        <v>1.2054390757591247</v>
      </c>
      <c r="AA193" s="185">
        <f t="shared" ref="AA193:AP208" ca="1" si="71">AA$192/Z$192*Z193</f>
        <v>1.2329399938656576</v>
      </c>
      <c r="AB193" s="185">
        <f t="shared" ca="1" si="71"/>
        <v>1.2609759492894383</v>
      </c>
      <c r="AC193" s="185">
        <f t="shared" ca="1" si="71"/>
        <v>1.2887978897863199</v>
      </c>
      <c r="AD193" s="185">
        <f t="shared" ca="1" si="71"/>
        <v>1.3145866884776602</v>
      </c>
      <c r="AE193" s="185">
        <f t="shared" ca="1" si="71"/>
        <v>1.342622643901441</v>
      </c>
      <c r="AF193" s="185">
        <f t="shared" ca="1" si="71"/>
        <v>1.3719426888866166</v>
      </c>
      <c r="AG193" s="185">
        <f t="shared" ca="1" si="71"/>
        <v>1.4019047786524892</v>
      </c>
      <c r="AH193" s="185">
        <f t="shared" ca="1" si="71"/>
        <v>1.435184099785298</v>
      </c>
      <c r="AI193" s="185">
        <f t="shared" ca="1" si="71"/>
        <v>1.4695334955526023</v>
      </c>
      <c r="AJ193" s="185">
        <f t="shared" ca="1" si="71"/>
        <v>1.5033478540026584</v>
      </c>
      <c r="AK193" s="185">
        <f t="shared" ca="1" si="71"/>
        <v>1.5379112646968611</v>
      </c>
      <c r="AL193" s="185">
        <f t="shared" ca="1" si="71"/>
        <v>1.5739727798793577</v>
      </c>
      <c r="AM193" s="185">
        <f t="shared" ca="1" si="71"/>
        <v>1.7550294080359876</v>
      </c>
      <c r="AN193" s="185">
        <f t="shared" ca="1" si="71"/>
        <v>1.9731106185461602</v>
      </c>
      <c r="AO193" s="185">
        <f t="shared" ca="1" si="71"/>
        <v>2.3660776934873669</v>
      </c>
      <c r="AP193" s="185">
        <f t="shared" ca="1" si="71"/>
        <v>2.7652155321541718</v>
      </c>
    </row>
    <row r="194" spans="1:42">
      <c r="A194" s="57" t="str">
        <f>'[4]TS BYDem'!A133</f>
        <v/>
      </c>
      <c r="B194" s="185" t="s">
        <v>288</v>
      </c>
      <c r="C194" s="185" t="s">
        <v>137</v>
      </c>
      <c r="D194" s="185" t="str">
        <f>'[4]TS BYDem'!D133</f>
        <v>IFBA</v>
      </c>
      <c r="E194" s="185" t="s">
        <v>137</v>
      </c>
      <c r="F194" s="185" t="s">
        <v>137</v>
      </c>
      <c r="G194" s="185" t="s">
        <v>137</v>
      </c>
      <c r="H194" s="185" t="s">
        <v>137</v>
      </c>
      <c r="I194" s="185">
        <v>0</v>
      </c>
      <c r="J194" s="185">
        <f>INDEX('[4]TS BYDem'!$J$10:$J$203,MATCH(D194,'[4]TS BYDem'!$D$10:$D$203,0))</f>
        <v>3.1931633262906718E-2</v>
      </c>
      <c r="K194" s="185">
        <f t="shared" ca="1" si="68"/>
        <v>3.2518132649368273E-2</v>
      </c>
      <c r="L194" s="185">
        <f t="shared" ca="1" si="68"/>
        <v>3.294000062910378E-2</v>
      </c>
      <c r="M194" s="192">
        <f t="shared" si="69"/>
        <v>2.9904000000000003E-2</v>
      </c>
      <c r="N194" s="192">
        <f t="shared" si="70"/>
        <v>2.9904000000000003E-2</v>
      </c>
      <c r="O194" s="192">
        <f>INDEX('[4]TS BYDem'!$O$10:$O$203,MATCH(D194,'[4]TS BYDem'!$D$10:$D$203,0))</f>
        <v>2.9904000000000003E-2</v>
      </c>
      <c r="P194" s="185">
        <f t="shared" ca="1" si="68"/>
        <v>3.0108842858603421E-2</v>
      </c>
      <c r="Q194" s="185">
        <f t="shared" ca="1" si="68"/>
        <v>2.9873426439014417E-2</v>
      </c>
      <c r="R194" s="185">
        <f t="shared" ca="1" si="68"/>
        <v>2.836920723852367E-2</v>
      </c>
      <c r="S194" s="185">
        <f t="shared" ca="1" si="68"/>
        <v>2.9222209590021468E-2</v>
      </c>
      <c r="T194" s="185">
        <f t="shared" ca="1" si="68"/>
        <v>3.0001835395153865E-2</v>
      </c>
      <c r="U194" s="185">
        <f t="shared" ca="1" si="68"/>
        <v>3.064082281975258E-2</v>
      </c>
      <c r="V194" s="185">
        <f t="shared" ca="1" si="68"/>
        <v>3.1240064615070031E-2</v>
      </c>
      <c r="W194" s="185">
        <f t="shared" ca="1" si="68"/>
        <v>3.18821093957673E-2</v>
      </c>
      <c r="X194" s="185">
        <f t="shared" ca="1" si="68"/>
        <v>3.276262795215213E-2</v>
      </c>
      <c r="Y194" s="185">
        <f t="shared" ca="1" si="68"/>
        <v>3.360034352315714E-2</v>
      </c>
      <c r="Z194" s="185">
        <f t="shared" ca="1" si="68"/>
        <v>3.4441116450260711E-2</v>
      </c>
      <c r="AA194" s="185">
        <f t="shared" ca="1" si="71"/>
        <v>3.5226856967590224E-2</v>
      </c>
      <c r="AB194" s="185">
        <f t="shared" ca="1" si="71"/>
        <v>3.6027884265412528E-2</v>
      </c>
      <c r="AC194" s="185">
        <f t="shared" ca="1" si="71"/>
        <v>3.6822796851037717E-2</v>
      </c>
      <c r="AD194" s="185">
        <f t="shared" ca="1" si="71"/>
        <v>3.7559619670790294E-2</v>
      </c>
      <c r="AE194" s="185">
        <f t="shared" ca="1" si="71"/>
        <v>3.8360646968612605E-2</v>
      </c>
      <c r="AF194" s="185">
        <f t="shared" ca="1" si="71"/>
        <v>3.9198362539617622E-2</v>
      </c>
      <c r="AG194" s="185">
        <f t="shared" ca="1" si="71"/>
        <v>4.0054422247213978E-2</v>
      </c>
      <c r="AH194" s="185">
        <f t="shared" ca="1" si="71"/>
        <v>4.1005259993865659E-2</v>
      </c>
      <c r="AI194" s="185">
        <f t="shared" ca="1" si="71"/>
        <v>4.1986671301502923E-2</v>
      </c>
      <c r="AJ194" s="185">
        <f t="shared" ca="1" si="71"/>
        <v>4.2952795828647382E-2</v>
      </c>
      <c r="AK194" s="185">
        <f t="shared" ca="1" si="71"/>
        <v>4.3940321848481748E-2</v>
      </c>
      <c r="AL194" s="185">
        <f t="shared" ca="1" si="71"/>
        <v>4.4970650853695934E-2</v>
      </c>
      <c r="AM194" s="185">
        <f t="shared" ca="1" si="71"/>
        <v>5.0143697372456789E-2</v>
      </c>
      <c r="AN194" s="185">
        <f t="shared" ca="1" si="71"/>
        <v>5.6374589101318866E-2</v>
      </c>
      <c r="AO194" s="185">
        <f t="shared" ca="1" si="71"/>
        <v>6.7602219813924766E-2</v>
      </c>
      <c r="AP194" s="185">
        <f t="shared" ca="1" si="71"/>
        <v>7.900615806154776E-2</v>
      </c>
    </row>
    <row r="195" spans="1:42">
      <c r="A195" s="57" t="str">
        <f>'[4]TS BYDem'!A134</f>
        <v/>
      </c>
      <c r="B195" s="185" t="s">
        <v>288</v>
      </c>
      <c r="C195" s="185" t="s">
        <v>137</v>
      </c>
      <c r="D195" s="185" t="str">
        <f>'[4]TS BYDem'!D134</f>
        <v>IFBL</v>
      </c>
      <c r="E195" s="185" t="s">
        <v>137</v>
      </c>
      <c r="F195" s="185" t="s">
        <v>137</v>
      </c>
      <c r="G195" s="185" t="s">
        <v>137</v>
      </c>
      <c r="H195" s="185" t="s">
        <v>137</v>
      </c>
      <c r="I195" s="185">
        <v>0</v>
      </c>
      <c r="J195" s="185">
        <f>INDEX('[4]TS BYDem'!$J$10:$J$203,MATCH(D195,'[4]TS BYDem'!$D$10:$D$203,0))</f>
        <v>0.23948724947180039</v>
      </c>
      <c r="K195" s="185">
        <f t="shared" ca="1" si="68"/>
        <v>0.24388599487026202</v>
      </c>
      <c r="L195" s="185">
        <f t="shared" ca="1" si="68"/>
        <v>0.24705000471827832</v>
      </c>
      <c r="M195" s="192">
        <f t="shared" si="69"/>
        <v>0.22428000000000001</v>
      </c>
      <c r="N195" s="192">
        <f t="shared" si="70"/>
        <v>0.22428000000000001</v>
      </c>
      <c r="O195" s="192">
        <f>INDEX('[4]TS BYDem'!$O$10:$O$203,MATCH(D195,'[4]TS BYDem'!$D$10:$D$203,0))</f>
        <v>0.22428000000000001</v>
      </c>
      <c r="P195" s="185">
        <f t="shared" ca="1" si="68"/>
        <v>0.22581632143952562</v>
      </c>
      <c r="Q195" s="185">
        <f t="shared" ca="1" si="68"/>
        <v>0.2240506982926081</v>
      </c>
      <c r="R195" s="185">
        <f t="shared" ca="1" si="68"/>
        <v>0.21276905428892751</v>
      </c>
      <c r="S195" s="185">
        <f t="shared" ca="1" si="68"/>
        <v>0.21916657192516098</v>
      </c>
      <c r="T195" s="185">
        <f t="shared" ca="1" si="68"/>
        <v>0.22501376546365395</v>
      </c>
      <c r="U195" s="185">
        <f t="shared" ca="1" si="68"/>
        <v>0.22980617114814431</v>
      </c>
      <c r="V195" s="185">
        <f t="shared" ca="1" si="68"/>
        <v>0.23430048461302519</v>
      </c>
      <c r="W195" s="185">
        <f t="shared" ca="1" si="68"/>
        <v>0.23911582046825472</v>
      </c>
      <c r="X195" s="185">
        <f t="shared" ca="1" si="68"/>
        <v>0.24571970964114093</v>
      </c>
      <c r="Y195" s="185">
        <f t="shared" ca="1" si="68"/>
        <v>0.25200257642367851</v>
      </c>
      <c r="Z195" s="185">
        <f t="shared" ca="1" si="68"/>
        <v>0.25830837337695528</v>
      </c>
      <c r="AA195" s="185">
        <f t="shared" ca="1" si="71"/>
        <v>0.26420142725692664</v>
      </c>
      <c r="AB195" s="185">
        <f t="shared" ca="1" si="71"/>
        <v>0.27020913199059393</v>
      </c>
      <c r="AC195" s="185">
        <f t="shared" ca="1" si="71"/>
        <v>0.27617097638278282</v>
      </c>
      <c r="AD195" s="185">
        <f t="shared" ca="1" si="71"/>
        <v>0.28169714753092717</v>
      </c>
      <c r="AE195" s="185">
        <f t="shared" ca="1" si="71"/>
        <v>0.28770485226459452</v>
      </c>
      <c r="AF195" s="185">
        <f t="shared" ca="1" si="71"/>
        <v>0.29398771904713217</v>
      </c>
      <c r="AG195" s="185">
        <f t="shared" ca="1" si="71"/>
        <v>0.30040816685410487</v>
      </c>
      <c r="AH195" s="185">
        <f t="shared" ca="1" si="71"/>
        <v>0.30753944995399246</v>
      </c>
      <c r="AI195" s="185">
        <f t="shared" ca="1" si="71"/>
        <v>0.31490003476127193</v>
      </c>
      <c r="AJ195" s="185">
        <f t="shared" ca="1" si="71"/>
        <v>0.3221459687148554</v>
      </c>
      <c r="AK195" s="185">
        <f t="shared" ca="1" si="71"/>
        <v>0.32955241386361317</v>
      </c>
      <c r="AL195" s="185">
        <f t="shared" ca="1" si="71"/>
        <v>0.33727988140271958</v>
      </c>
      <c r="AM195" s="185">
        <f t="shared" ca="1" si="71"/>
        <v>0.376077730293426</v>
      </c>
      <c r="AN195" s="185">
        <f t="shared" ca="1" si="71"/>
        <v>0.4228094182598916</v>
      </c>
      <c r="AO195" s="185">
        <f t="shared" ca="1" si="71"/>
        <v>0.50701664860443585</v>
      </c>
      <c r="AP195" s="185">
        <f t="shared" ca="1" si="71"/>
        <v>0.59254618546160831</v>
      </c>
    </row>
    <row r="196" spans="1:42">
      <c r="A196" s="57" t="str">
        <f>'[4]TS BYDem'!A135</f>
        <v/>
      </c>
      <c r="B196" s="185" t="s">
        <v>288</v>
      </c>
      <c r="C196" s="185" t="s">
        <v>137</v>
      </c>
      <c r="D196" s="185" t="str">
        <f>'[4]TS BYDem'!D135</f>
        <v>IFBC</v>
      </c>
      <c r="E196" s="185" t="s">
        <v>137</v>
      </c>
      <c r="F196" s="185" t="s">
        <v>137</v>
      </c>
      <c r="G196" s="185" t="s">
        <v>137</v>
      </c>
      <c r="H196" s="185" t="s">
        <v>137</v>
      </c>
      <c r="I196" s="185">
        <v>0</v>
      </c>
      <c r="J196" s="185">
        <f>INDEX('[4]TS BYDem'!$J$10:$J$203,MATCH(D196,'[4]TS BYDem'!$D$10:$D$203,0))</f>
        <v>7.3442756504685454</v>
      </c>
      <c r="K196" s="185">
        <f t="shared" ca="1" si="68"/>
        <v>7.4791705093547023</v>
      </c>
      <c r="L196" s="185">
        <f t="shared" ca="1" si="68"/>
        <v>7.5762001446938685</v>
      </c>
      <c r="M196" s="192">
        <f t="shared" si="69"/>
        <v>6.8779200000000005</v>
      </c>
      <c r="N196" s="192">
        <f t="shared" si="70"/>
        <v>6.8779200000000005</v>
      </c>
      <c r="O196" s="192">
        <f>INDEX('[4]TS BYDem'!$O$10:$O$203,MATCH(D196,'[4]TS BYDem'!$D$10:$D$203,0))</f>
        <v>6.8779200000000005</v>
      </c>
      <c r="P196" s="185">
        <f t="shared" ca="1" si="68"/>
        <v>6.9250338574787866</v>
      </c>
      <c r="Q196" s="185">
        <f t="shared" ca="1" si="68"/>
        <v>6.8708880809733159</v>
      </c>
      <c r="R196" s="185">
        <f t="shared" ca="1" si="68"/>
        <v>6.5249176648604443</v>
      </c>
      <c r="S196" s="185">
        <f t="shared" ca="1" si="68"/>
        <v>6.7211082057049376</v>
      </c>
      <c r="T196" s="185">
        <f t="shared" ca="1" si="68"/>
        <v>6.9004221408853894</v>
      </c>
      <c r="U196" s="185">
        <f t="shared" ca="1" si="68"/>
        <v>7.0473892485430936</v>
      </c>
      <c r="V196" s="185">
        <f t="shared" ca="1" si="68"/>
        <v>7.1852148614661075</v>
      </c>
      <c r="W196" s="185">
        <f t="shared" ca="1" si="68"/>
        <v>7.3328851610264794</v>
      </c>
      <c r="X196" s="185">
        <f t="shared" ca="1" si="68"/>
        <v>7.5354044289949895</v>
      </c>
      <c r="Y196" s="185">
        <f t="shared" ca="1" si="68"/>
        <v>7.7280790103261419</v>
      </c>
      <c r="Z196" s="185">
        <f t="shared" ca="1" si="68"/>
        <v>7.9214567835599627</v>
      </c>
      <c r="AA196" s="185">
        <f t="shared" ca="1" si="71"/>
        <v>8.1021771025457507</v>
      </c>
      <c r="AB196" s="185">
        <f t="shared" ca="1" si="71"/>
        <v>8.2864133810448806</v>
      </c>
      <c r="AC196" s="185">
        <f t="shared" ca="1" si="71"/>
        <v>8.4692432757386733</v>
      </c>
      <c r="AD196" s="185">
        <f t="shared" ca="1" si="71"/>
        <v>8.6387125242817664</v>
      </c>
      <c r="AE196" s="185">
        <f t="shared" ca="1" si="71"/>
        <v>8.822948802780898</v>
      </c>
      <c r="AF196" s="185">
        <f t="shared" ca="1" si="71"/>
        <v>9.0156233841120521</v>
      </c>
      <c r="AG196" s="185">
        <f t="shared" ca="1" si="71"/>
        <v>9.2125171168592139</v>
      </c>
      <c r="AH196" s="185">
        <f t="shared" ca="1" si="71"/>
        <v>9.4312097985890997</v>
      </c>
      <c r="AI196" s="185">
        <f t="shared" ca="1" si="71"/>
        <v>9.6569343993456691</v>
      </c>
      <c r="AJ196" s="185">
        <f t="shared" ca="1" si="71"/>
        <v>9.8791430405888949</v>
      </c>
      <c r="AK196" s="185">
        <f t="shared" ca="1" si="71"/>
        <v>10.1062740251508</v>
      </c>
      <c r="AL196" s="185">
        <f t="shared" ca="1" si="71"/>
        <v>10.343249696350062</v>
      </c>
      <c r="AM196" s="185">
        <f t="shared" ca="1" si="71"/>
        <v>11.533050395665059</v>
      </c>
      <c r="AN196" s="185">
        <f t="shared" ca="1" si="71"/>
        <v>12.966155493303336</v>
      </c>
      <c r="AO196" s="185">
        <f t="shared" ca="1" si="71"/>
        <v>15.548510557202693</v>
      </c>
      <c r="AP196" s="185">
        <f t="shared" ca="1" si="71"/>
        <v>18.171416354155983</v>
      </c>
    </row>
    <row r="197" spans="1:42">
      <c r="A197" s="57" t="str">
        <f>'[4]TS BYDem'!A136</f>
        <v/>
      </c>
      <c r="B197" s="185" t="s">
        <v>288</v>
      </c>
      <c r="C197" s="185" t="s">
        <v>137</v>
      </c>
      <c r="D197" s="185" t="str">
        <f>'[4]TS BYDem'!D136</f>
        <v>IFBH</v>
      </c>
      <c r="E197" s="185" t="s">
        <v>137</v>
      </c>
      <c r="F197" s="185" t="s">
        <v>137</v>
      </c>
      <c r="G197" s="185" t="s">
        <v>137</v>
      </c>
      <c r="H197" s="185" t="s">
        <v>137</v>
      </c>
      <c r="I197" s="185">
        <v>0</v>
      </c>
      <c r="J197" s="185">
        <f>INDEX('[4]TS BYDem'!$J$10:$J$203,MATCH(D197,'[4]TS BYDem'!$D$10:$D$203,0))</f>
        <v>0.86215409809848131</v>
      </c>
      <c r="K197" s="185">
        <f t="shared" ca="1" si="68"/>
        <v>0.87798958153294326</v>
      </c>
      <c r="L197" s="185">
        <f t="shared" ca="1" si="68"/>
        <v>0.88938001698580194</v>
      </c>
      <c r="M197" s="192">
        <f t="shared" si="69"/>
        <v>0.8074079999999999</v>
      </c>
      <c r="N197" s="192">
        <f t="shared" si="70"/>
        <v>0.8074079999999999</v>
      </c>
      <c r="O197" s="192">
        <f>INDEX('[4]TS BYDem'!$O$10:$O$203,MATCH(D197,'[4]TS BYDem'!$D$10:$D$203,0))</f>
        <v>0.8074079999999999</v>
      </c>
      <c r="P197" s="185">
        <f t="shared" ca="1" si="68"/>
        <v>0.81293875718229214</v>
      </c>
      <c r="Q197" s="185">
        <f t="shared" ca="1" si="68"/>
        <v>0.80658251385338908</v>
      </c>
      <c r="R197" s="185">
        <f t="shared" ca="1" si="68"/>
        <v>0.76596859544013896</v>
      </c>
      <c r="S197" s="185">
        <f t="shared" ca="1" si="68"/>
        <v>0.78899965893057955</v>
      </c>
      <c r="T197" s="185">
        <f t="shared" ca="1" si="68"/>
        <v>0.81004955566915426</v>
      </c>
      <c r="U197" s="185">
        <f t="shared" ca="1" si="68"/>
        <v>0.82730221613331956</v>
      </c>
      <c r="V197" s="185">
        <f t="shared" ca="1" si="68"/>
        <v>0.84348174460689074</v>
      </c>
      <c r="W197" s="185">
        <f t="shared" ca="1" si="68"/>
        <v>0.86081695368571698</v>
      </c>
      <c r="X197" s="185">
        <f t="shared" ca="1" si="68"/>
        <v>0.88459095470810734</v>
      </c>
      <c r="Y197" s="185">
        <f t="shared" ca="1" si="68"/>
        <v>0.90720927512524252</v>
      </c>
      <c r="Z197" s="185">
        <f t="shared" ca="1" si="68"/>
        <v>0.92991014415703888</v>
      </c>
      <c r="AA197" s="185">
        <f t="shared" ca="1" si="71"/>
        <v>0.95112513812493571</v>
      </c>
      <c r="AB197" s="185">
        <f t="shared" ca="1" si="71"/>
        <v>0.97275287516613795</v>
      </c>
      <c r="AC197" s="185">
        <f t="shared" ca="1" si="71"/>
        <v>0.99421551497801797</v>
      </c>
      <c r="AD197" s="185">
        <f t="shared" ca="1" si="71"/>
        <v>1.0141097311113376</v>
      </c>
      <c r="AE197" s="185">
        <f t="shared" ca="1" si="71"/>
        <v>1.03573746815254</v>
      </c>
      <c r="AF197" s="185">
        <f t="shared" ca="1" si="71"/>
        <v>1.0583557885696755</v>
      </c>
      <c r="AG197" s="185">
        <f t="shared" ca="1" si="71"/>
        <v>1.0814694006747771</v>
      </c>
      <c r="AH197" s="185">
        <f t="shared" ca="1" si="71"/>
        <v>1.1071420198343724</v>
      </c>
      <c r="AI197" s="185">
        <f t="shared" ca="1" si="71"/>
        <v>1.1336401251405785</v>
      </c>
      <c r="AJ197" s="185">
        <f t="shared" ca="1" si="71"/>
        <v>1.159725487373479</v>
      </c>
      <c r="AK197" s="185">
        <f t="shared" ca="1" si="71"/>
        <v>1.186388689909007</v>
      </c>
      <c r="AL197" s="185">
        <f t="shared" ca="1" si="71"/>
        <v>1.2142075730497901</v>
      </c>
      <c r="AM197" s="185">
        <f t="shared" ca="1" si="71"/>
        <v>1.3538798290563332</v>
      </c>
      <c r="AN197" s="185">
        <f t="shared" ca="1" si="71"/>
        <v>1.5221139057356092</v>
      </c>
      <c r="AO197" s="185">
        <f t="shared" ca="1" si="71"/>
        <v>1.8252599349759686</v>
      </c>
      <c r="AP197" s="185">
        <f t="shared" ca="1" si="71"/>
        <v>2.1331662676617893</v>
      </c>
    </row>
    <row r="198" spans="1:42">
      <c r="A198" s="57" t="str">
        <f>'[4]TS BYDem'!A137</f>
        <v/>
      </c>
      <c r="B198" s="185" t="s">
        <v>288</v>
      </c>
      <c r="C198" s="185" t="s">
        <v>137</v>
      </c>
      <c r="D198" s="185" t="str">
        <f>'[4]TS BYDem'!D137</f>
        <v>IFBP</v>
      </c>
      <c r="E198" s="185" t="s">
        <v>137</v>
      </c>
      <c r="F198" s="185" t="s">
        <v>137</v>
      </c>
      <c r="G198" s="185" t="s">
        <v>137</v>
      </c>
      <c r="H198" s="185" t="s">
        <v>137</v>
      </c>
      <c r="I198" s="185">
        <v>0</v>
      </c>
      <c r="J198" s="185">
        <f>INDEX('[4]TS BYDem'!$J$10:$J$203,MATCH(D198,'[4]TS BYDem'!$D$10:$D$203,0))</f>
        <v>3.576342925445553</v>
      </c>
      <c r="K198" s="185">
        <f t="shared" ca="1" si="68"/>
        <v>3.6420308567292468</v>
      </c>
      <c r="L198" s="185">
        <f t="shared" ca="1" si="68"/>
        <v>3.6892800704596236</v>
      </c>
      <c r="M198" s="192">
        <f t="shared" si="69"/>
        <v>3.3492480000000002</v>
      </c>
      <c r="N198" s="192">
        <f t="shared" si="70"/>
        <v>3.3492480000000002</v>
      </c>
      <c r="O198" s="192">
        <f>INDEX('[4]TS BYDem'!$O$10:$O$203,MATCH(D198,'[4]TS BYDem'!$D$10:$D$203,0))</f>
        <v>3.3492480000000002</v>
      </c>
      <c r="P198" s="185">
        <f t="shared" ca="1" si="68"/>
        <v>3.372190400163583</v>
      </c>
      <c r="Q198" s="185">
        <f t="shared" ca="1" si="68"/>
        <v>3.3458237611696147</v>
      </c>
      <c r="R198" s="185">
        <f t="shared" ca="1" si="68"/>
        <v>3.1773512107146513</v>
      </c>
      <c r="S198" s="185">
        <f t="shared" ca="1" si="68"/>
        <v>3.2728874740824048</v>
      </c>
      <c r="T198" s="185">
        <f t="shared" ca="1" si="68"/>
        <v>3.3602055642572335</v>
      </c>
      <c r="U198" s="185">
        <f t="shared" ca="1" si="68"/>
        <v>3.4317721558122893</v>
      </c>
      <c r="V198" s="185">
        <f t="shared" ca="1" si="68"/>
        <v>3.4988872368878439</v>
      </c>
      <c r="W198" s="185">
        <f t="shared" ca="1" si="68"/>
        <v>3.570796252325938</v>
      </c>
      <c r="X198" s="185">
        <f t="shared" ca="1" si="68"/>
        <v>3.6694143306410387</v>
      </c>
      <c r="Y198" s="185">
        <f t="shared" ca="1" si="68"/>
        <v>3.7632384745935998</v>
      </c>
      <c r="Z198" s="185">
        <f t="shared" ca="1" si="68"/>
        <v>3.8574050424291997</v>
      </c>
      <c r="AA198" s="185">
        <f t="shared" ca="1" si="71"/>
        <v>3.945407980370105</v>
      </c>
      <c r="AB198" s="185">
        <f t="shared" ca="1" si="71"/>
        <v>4.0351230377262031</v>
      </c>
      <c r="AC198" s="185">
        <f t="shared" ca="1" si="71"/>
        <v>4.1241532473162241</v>
      </c>
      <c r="AD198" s="185">
        <f t="shared" ca="1" si="71"/>
        <v>4.2066774031285128</v>
      </c>
      <c r="AE198" s="185">
        <f t="shared" ca="1" si="71"/>
        <v>4.2963924604846113</v>
      </c>
      <c r="AF198" s="185">
        <f t="shared" ca="1" si="71"/>
        <v>4.3902166044371729</v>
      </c>
      <c r="AG198" s="185">
        <f t="shared" ca="1" si="71"/>
        <v>4.4860952916879651</v>
      </c>
      <c r="AH198" s="185">
        <f t="shared" ca="1" si="71"/>
        <v>4.5925891193129527</v>
      </c>
      <c r="AI198" s="185">
        <f t="shared" ca="1" si="71"/>
        <v>4.7025071857683258</v>
      </c>
      <c r="AJ198" s="185">
        <f t="shared" ca="1" si="71"/>
        <v>4.8107131328085053</v>
      </c>
      <c r="AK198" s="185">
        <f t="shared" ca="1" si="71"/>
        <v>4.9213160470299542</v>
      </c>
      <c r="AL198" s="185">
        <f t="shared" ca="1" si="71"/>
        <v>5.0367128956139435</v>
      </c>
      <c r="AM198" s="185">
        <f t="shared" ca="1" si="71"/>
        <v>5.6160941057151597</v>
      </c>
      <c r="AN198" s="185">
        <f t="shared" ca="1" si="71"/>
        <v>6.313953979347712</v>
      </c>
      <c r="AO198" s="185">
        <f t="shared" ca="1" si="71"/>
        <v>7.5714486191595727</v>
      </c>
      <c r="AP198" s="185">
        <f t="shared" ca="1" si="71"/>
        <v>8.8486897028933473</v>
      </c>
    </row>
    <row r="199" spans="1:42">
      <c r="A199" s="57" t="str">
        <f>'[4]TS BYDem'!A138</f>
        <v/>
      </c>
      <c r="B199" s="185" t="s">
        <v>288</v>
      </c>
      <c r="C199" s="185" t="s">
        <v>137</v>
      </c>
      <c r="D199" s="185" t="str">
        <f>'[4]TS BYDem'!D138</f>
        <v>IFBF</v>
      </c>
      <c r="E199" s="185" t="s">
        <v>137</v>
      </c>
      <c r="F199" s="185" t="s">
        <v>137</v>
      </c>
      <c r="G199" s="185" t="s">
        <v>137</v>
      </c>
      <c r="H199" s="185" t="s">
        <v>137</v>
      </c>
      <c r="I199" s="185">
        <v>0</v>
      </c>
      <c r="J199" s="185">
        <f>INDEX('[4]TS BYDem'!$J$10:$J$203,MATCH(D199,'[4]TS BYDem'!$D$10:$D$203,0))</f>
        <v>0.51090613220650749</v>
      </c>
      <c r="K199" s="185">
        <f t="shared" ca="1" si="68"/>
        <v>0.52029012238989236</v>
      </c>
      <c r="L199" s="185">
        <f t="shared" ca="1" si="68"/>
        <v>0.52704001006566048</v>
      </c>
      <c r="M199" s="192">
        <f t="shared" si="69"/>
        <v>0.47846400000000006</v>
      </c>
      <c r="N199" s="192">
        <f t="shared" si="70"/>
        <v>0.47846400000000006</v>
      </c>
      <c r="O199" s="192">
        <f>INDEX('[4]TS BYDem'!$O$10:$O$203,MATCH(D199,'[4]TS BYDem'!$D$10:$D$203,0))</f>
        <v>0.47846400000000006</v>
      </c>
      <c r="P199" s="185">
        <f t="shared" ca="1" si="68"/>
        <v>0.48174148573765474</v>
      </c>
      <c r="Q199" s="185">
        <f t="shared" ca="1" si="68"/>
        <v>0.47797482302423067</v>
      </c>
      <c r="R199" s="185">
        <f t="shared" ca="1" si="68"/>
        <v>0.45390731581637872</v>
      </c>
      <c r="S199" s="185">
        <f t="shared" ca="1" si="68"/>
        <v>0.46755535344034349</v>
      </c>
      <c r="T199" s="185">
        <f t="shared" ca="1" si="68"/>
        <v>0.48002936632246185</v>
      </c>
      <c r="U199" s="185">
        <f t="shared" ca="1" si="68"/>
        <v>0.49025316511604128</v>
      </c>
      <c r="V199" s="185">
        <f t="shared" ca="1" si="68"/>
        <v>0.4998410338411205</v>
      </c>
      <c r="W199" s="185">
        <f t="shared" ca="1" si="68"/>
        <v>0.51011375033227679</v>
      </c>
      <c r="X199" s="185">
        <f t="shared" ca="1" si="68"/>
        <v>0.52420204723443409</v>
      </c>
      <c r="Y199" s="185">
        <f t="shared" ca="1" si="68"/>
        <v>0.53760549637051425</v>
      </c>
      <c r="Z199" s="185">
        <f t="shared" ca="1" si="68"/>
        <v>0.55105786320417138</v>
      </c>
      <c r="AA199" s="185">
        <f t="shared" ca="1" si="71"/>
        <v>0.56362971148144358</v>
      </c>
      <c r="AB199" s="185">
        <f t="shared" ca="1" si="71"/>
        <v>0.57644614824660045</v>
      </c>
      <c r="AC199" s="185">
        <f t="shared" ca="1" si="71"/>
        <v>0.58916474961660348</v>
      </c>
      <c r="AD199" s="185">
        <f t="shared" ca="1" si="71"/>
        <v>0.6009539147326447</v>
      </c>
      <c r="AE199" s="185">
        <f t="shared" ca="1" si="71"/>
        <v>0.61377035149780168</v>
      </c>
      <c r="AF199" s="185">
        <f t="shared" ca="1" si="71"/>
        <v>0.62717380063388195</v>
      </c>
      <c r="AG199" s="185">
        <f t="shared" ca="1" si="71"/>
        <v>0.64087075595542364</v>
      </c>
      <c r="AH199" s="185">
        <f t="shared" ca="1" si="71"/>
        <v>0.65608415990185054</v>
      </c>
      <c r="AI199" s="185">
        <f t="shared" ca="1" si="71"/>
        <v>0.67178674082404677</v>
      </c>
      <c r="AJ199" s="185">
        <f t="shared" ca="1" si="71"/>
        <v>0.68724473325835811</v>
      </c>
      <c r="AK199" s="185">
        <f t="shared" ca="1" si="71"/>
        <v>0.70304514957570796</v>
      </c>
      <c r="AL199" s="185">
        <f t="shared" ca="1" si="71"/>
        <v>0.71953041365913495</v>
      </c>
      <c r="AM199" s="185">
        <f t="shared" ca="1" si="71"/>
        <v>0.80229915795930862</v>
      </c>
      <c r="AN199" s="185">
        <f t="shared" ca="1" si="71"/>
        <v>0.90199342562110185</v>
      </c>
      <c r="AO199" s="185">
        <f t="shared" ca="1" si="71"/>
        <v>1.0816355170227963</v>
      </c>
      <c r="AP199" s="185">
        <f t="shared" ca="1" si="71"/>
        <v>1.2640985289847642</v>
      </c>
    </row>
    <row r="200" spans="1:42">
      <c r="A200" s="57" t="str">
        <f>'[4]TS BYDem'!A139</f>
        <v/>
      </c>
      <c r="B200" s="185" t="s">
        <v>288</v>
      </c>
      <c r="C200" s="185" t="s">
        <v>137</v>
      </c>
      <c r="D200" s="185" t="str">
        <f>'[4]TS BYDem'!D139</f>
        <v>IFBO</v>
      </c>
      <c r="E200" s="185" t="s">
        <v>137</v>
      </c>
      <c r="F200" s="185" t="s">
        <v>137</v>
      </c>
      <c r="G200" s="185" t="s">
        <v>137</v>
      </c>
      <c r="H200" s="185" t="s">
        <v>137</v>
      </c>
      <c r="I200" s="185">
        <v>0</v>
      </c>
      <c r="J200" s="185">
        <f>INDEX('[4]TS BYDem'!$J$10:$J$203,MATCH(D200,'[4]TS BYDem'!$D$10:$D$203,0))</f>
        <v>2.6822571940841642</v>
      </c>
      <c r="K200" s="185">
        <f t="shared" ca="1" si="68"/>
        <v>2.7315231425469344</v>
      </c>
      <c r="L200" s="185">
        <f t="shared" ca="1" si="68"/>
        <v>2.7669600528447171</v>
      </c>
      <c r="M200" s="192">
        <f t="shared" si="69"/>
        <v>2.5119360000000004</v>
      </c>
      <c r="N200" s="192">
        <f t="shared" si="70"/>
        <v>2.5119360000000004</v>
      </c>
      <c r="O200" s="192">
        <f>INDEX('[4]TS BYDem'!$O$10:$O$203,MATCH(D200,'[4]TS BYDem'!$D$10:$D$203,0))</f>
        <v>2.5119360000000004</v>
      </c>
      <c r="P200" s="185">
        <f t="shared" ca="1" si="68"/>
        <v>2.5291428001226874</v>
      </c>
      <c r="Q200" s="185">
        <f t="shared" ca="1" si="68"/>
        <v>2.5093678208772112</v>
      </c>
      <c r="R200" s="185">
        <f t="shared" ca="1" si="68"/>
        <v>2.3830134080359886</v>
      </c>
      <c r="S200" s="185">
        <f t="shared" ca="1" si="68"/>
        <v>2.4546656055618037</v>
      </c>
      <c r="T200" s="185">
        <f t="shared" ca="1" si="68"/>
        <v>2.5201541731929251</v>
      </c>
      <c r="U200" s="185">
        <f t="shared" ca="1" si="68"/>
        <v>2.5738291168592169</v>
      </c>
      <c r="V200" s="185">
        <f t="shared" ca="1" si="68"/>
        <v>2.6241654276658828</v>
      </c>
      <c r="W200" s="185">
        <f t="shared" ca="1" si="68"/>
        <v>2.6780971892444536</v>
      </c>
      <c r="X200" s="185">
        <f t="shared" ca="1" si="68"/>
        <v>2.7520607479807793</v>
      </c>
      <c r="Y200" s="185">
        <f t="shared" ca="1" si="68"/>
        <v>2.8224288559452</v>
      </c>
      <c r="Z200" s="185">
        <f t="shared" ca="1" si="68"/>
        <v>2.8930537818218998</v>
      </c>
      <c r="AA200" s="185">
        <f t="shared" ca="1" si="71"/>
        <v>2.9590559852775788</v>
      </c>
      <c r="AB200" s="185">
        <f t="shared" ca="1" si="71"/>
        <v>3.0263422782946527</v>
      </c>
      <c r="AC200" s="185">
        <f t="shared" ca="1" si="71"/>
        <v>3.0931149354871685</v>
      </c>
      <c r="AD200" s="185">
        <f t="shared" ca="1" si="71"/>
        <v>3.155008052346385</v>
      </c>
      <c r="AE200" s="185">
        <f t="shared" ca="1" si="71"/>
        <v>3.2222943453634594</v>
      </c>
      <c r="AF200" s="185">
        <f t="shared" ca="1" si="71"/>
        <v>3.2926624533278805</v>
      </c>
      <c r="AG200" s="185">
        <f t="shared" ca="1" si="71"/>
        <v>3.3645714687659747</v>
      </c>
      <c r="AH200" s="185">
        <f t="shared" ca="1" si="71"/>
        <v>3.4444418394847158</v>
      </c>
      <c r="AI200" s="185">
        <f t="shared" ca="1" si="71"/>
        <v>3.5268803893262457</v>
      </c>
      <c r="AJ200" s="185">
        <f t="shared" ca="1" si="71"/>
        <v>3.6080348496063803</v>
      </c>
      <c r="AK200" s="185">
        <f t="shared" ca="1" si="71"/>
        <v>3.6909870352724674</v>
      </c>
      <c r="AL200" s="185">
        <f t="shared" ca="1" si="71"/>
        <v>3.7775346717104594</v>
      </c>
      <c r="AM200" s="185">
        <f t="shared" ca="1" si="71"/>
        <v>4.2120705792863715</v>
      </c>
      <c r="AN200" s="185">
        <f t="shared" ca="1" si="71"/>
        <v>4.7354654845107857</v>
      </c>
      <c r="AO200" s="185">
        <f t="shared" ca="1" si="71"/>
        <v>5.6785864643696815</v>
      </c>
      <c r="AP200" s="185">
        <f t="shared" ca="1" si="71"/>
        <v>6.6365172771700136</v>
      </c>
    </row>
    <row r="201" spans="1:42">
      <c r="A201" s="57" t="str">
        <f>'[4]TS BYDem'!A140</f>
        <v/>
      </c>
      <c r="B201" s="185" t="s">
        <v>288</v>
      </c>
      <c r="C201" s="185" t="s">
        <v>137</v>
      </c>
      <c r="D201" s="185" t="str">
        <f>'[4]TS BYDem'!D140</f>
        <v>IFBE</v>
      </c>
      <c r="E201" s="185" t="s">
        <v>137</v>
      </c>
      <c r="F201" s="185" t="s">
        <v>137</v>
      </c>
      <c r="G201" s="185" t="s">
        <v>137</v>
      </c>
      <c r="H201" s="185" t="s">
        <v>137</v>
      </c>
      <c r="I201" s="185">
        <v>0</v>
      </c>
      <c r="J201" s="185">
        <f>INDEX('[4]TS BYDem'!$J$10:$J$203,MATCH(D201,'[4]TS BYDem'!$D$10:$D$203,0))</f>
        <v>0</v>
      </c>
      <c r="K201" s="185">
        <f t="shared" ca="1" si="68"/>
        <v>0</v>
      </c>
      <c r="L201" s="185">
        <f t="shared" ca="1" si="68"/>
        <v>0</v>
      </c>
      <c r="M201" s="192">
        <f t="shared" si="69"/>
        <v>0</v>
      </c>
      <c r="N201" s="192">
        <f t="shared" si="70"/>
        <v>0</v>
      </c>
      <c r="O201" s="192">
        <f>INDEX('[4]TS BYDem'!$O$10:$O$203,MATCH(D201,'[4]TS BYDem'!$D$10:$D$203,0))</f>
        <v>0</v>
      </c>
      <c r="P201" s="185">
        <f t="shared" ca="1" si="68"/>
        <v>0</v>
      </c>
      <c r="Q201" s="185">
        <f t="shared" ca="1" si="68"/>
        <v>0</v>
      </c>
      <c r="R201" s="185">
        <f t="shared" ca="1" si="68"/>
        <v>0</v>
      </c>
      <c r="S201" s="185">
        <f t="shared" ca="1" si="68"/>
        <v>0</v>
      </c>
      <c r="T201" s="185">
        <f t="shared" ca="1" si="68"/>
        <v>0</v>
      </c>
      <c r="U201" s="185">
        <f t="shared" ca="1" si="68"/>
        <v>0</v>
      </c>
      <c r="V201" s="185">
        <f t="shared" ca="1" si="68"/>
        <v>0</v>
      </c>
      <c r="W201" s="185">
        <f t="shared" ca="1" si="68"/>
        <v>0</v>
      </c>
      <c r="X201" s="185">
        <f t="shared" ca="1" si="68"/>
        <v>0</v>
      </c>
      <c r="Y201" s="185">
        <f t="shared" ca="1" si="68"/>
        <v>0</v>
      </c>
      <c r="Z201" s="185">
        <f t="shared" ca="1" si="68"/>
        <v>0</v>
      </c>
      <c r="AA201" s="185">
        <f t="shared" ca="1" si="71"/>
        <v>0</v>
      </c>
      <c r="AB201" s="185">
        <f t="shared" ca="1" si="71"/>
        <v>0</v>
      </c>
      <c r="AC201" s="185">
        <f t="shared" ca="1" si="71"/>
        <v>0</v>
      </c>
      <c r="AD201" s="185">
        <f t="shared" ca="1" si="71"/>
        <v>0</v>
      </c>
      <c r="AE201" s="185">
        <f t="shared" ca="1" si="71"/>
        <v>0</v>
      </c>
      <c r="AF201" s="185">
        <f t="shared" ca="1" si="71"/>
        <v>0</v>
      </c>
      <c r="AG201" s="185">
        <f t="shared" ca="1" si="71"/>
        <v>0</v>
      </c>
      <c r="AH201" s="185">
        <f t="shared" ca="1" si="71"/>
        <v>0</v>
      </c>
      <c r="AI201" s="185">
        <f t="shared" ca="1" si="71"/>
        <v>0</v>
      </c>
      <c r="AJ201" s="185">
        <f t="shared" ca="1" si="71"/>
        <v>0</v>
      </c>
      <c r="AK201" s="185">
        <f t="shared" ca="1" si="71"/>
        <v>0</v>
      </c>
      <c r="AL201" s="185">
        <f t="shared" ca="1" si="71"/>
        <v>0</v>
      </c>
      <c r="AM201" s="185">
        <f t="shared" ca="1" si="71"/>
        <v>0</v>
      </c>
      <c r="AN201" s="185">
        <f t="shared" ca="1" si="71"/>
        <v>0</v>
      </c>
      <c r="AO201" s="185">
        <f t="shared" ca="1" si="71"/>
        <v>0</v>
      </c>
      <c r="AP201" s="185">
        <f t="shared" ca="1" si="71"/>
        <v>0</v>
      </c>
    </row>
    <row r="202" spans="1:42">
      <c r="A202" s="57" t="str">
        <f>'[4]TS BYDem'!A141</f>
        <v>*</v>
      </c>
      <c r="B202" s="185" t="s">
        <v>288</v>
      </c>
      <c r="C202" s="185" t="s">
        <v>137</v>
      </c>
      <c r="D202" s="185" t="str">
        <f>'[4]TS BYDem'!D141</f>
        <v xml:space="preserve"> </v>
      </c>
      <c r="E202" s="185" t="s">
        <v>137</v>
      </c>
      <c r="F202" s="185" t="s">
        <v>137</v>
      </c>
      <c r="G202" s="185" t="s">
        <v>137</v>
      </c>
      <c r="H202" s="185" t="s">
        <v>137</v>
      </c>
      <c r="I202" s="185">
        <v>0</v>
      </c>
      <c r="J202" s="185" t="str">
        <f>INDEX('[4]TS BYDem'!$J$10:$J$203,MATCH(D202,'[4]TS BYDem'!$D$10:$D$203,0))</f>
        <v/>
      </c>
      <c r="K202" s="185" t="e">
        <f t="shared" ca="1" si="68"/>
        <v>#VALUE!</v>
      </c>
      <c r="L202" s="185" t="e">
        <f t="shared" ca="1" si="68"/>
        <v>#VALUE!</v>
      </c>
      <c r="M202" s="185" t="e">
        <f t="shared" ca="1" si="68"/>
        <v>#VALUE!</v>
      </c>
      <c r="N202" s="185" t="e">
        <f t="shared" ca="1" si="68"/>
        <v>#VALUE!</v>
      </c>
      <c r="O202" s="185" t="e">
        <f t="shared" ca="1" si="68"/>
        <v>#VALUE!</v>
      </c>
      <c r="P202" s="185" t="e">
        <f t="shared" ca="1" si="68"/>
        <v>#VALUE!</v>
      </c>
      <c r="Q202" s="185" t="e">
        <f t="shared" ca="1" si="68"/>
        <v>#VALUE!</v>
      </c>
      <c r="R202" s="185" t="e">
        <f t="shared" ca="1" si="68"/>
        <v>#VALUE!</v>
      </c>
      <c r="S202" s="185" t="e">
        <f t="shared" ca="1" si="68"/>
        <v>#VALUE!</v>
      </c>
      <c r="T202" s="185" t="e">
        <f t="shared" ca="1" si="68"/>
        <v>#VALUE!</v>
      </c>
      <c r="U202" s="185" t="e">
        <f t="shared" ca="1" si="68"/>
        <v>#VALUE!</v>
      </c>
      <c r="V202" s="185" t="e">
        <f t="shared" ca="1" si="68"/>
        <v>#VALUE!</v>
      </c>
      <c r="W202" s="185" t="e">
        <f t="shared" ca="1" si="68"/>
        <v>#VALUE!</v>
      </c>
      <c r="X202" s="185" t="e">
        <f t="shared" ca="1" si="68"/>
        <v>#VALUE!</v>
      </c>
      <c r="Y202" s="185" t="e">
        <f t="shared" ca="1" si="68"/>
        <v>#VALUE!</v>
      </c>
      <c r="Z202" s="185" t="e">
        <f t="shared" ca="1" si="68"/>
        <v>#VALUE!</v>
      </c>
      <c r="AA202" s="185" t="e">
        <f t="shared" ca="1" si="71"/>
        <v>#VALUE!</v>
      </c>
      <c r="AB202" s="185" t="e">
        <f t="shared" ca="1" si="71"/>
        <v>#VALUE!</v>
      </c>
      <c r="AC202" s="185" t="e">
        <f t="shared" ca="1" si="71"/>
        <v>#VALUE!</v>
      </c>
      <c r="AD202" s="185" t="e">
        <f t="shared" ca="1" si="71"/>
        <v>#VALUE!</v>
      </c>
      <c r="AE202" s="185" t="e">
        <f t="shared" ca="1" si="71"/>
        <v>#VALUE!</v>
      </c>
      <c r="AF202" s="185" t="e">
        <f t="shared" ca="1" si="71"/>
        <v>#VALUE!</v>
      </c>
      <c r="AG202" s="185" t="e">
        <f t="shared" ca="1" si="71"/>
        <v>#VALUE!</v>
      </c>
      <c r="AH202" s="185" t="e">
        <f t="shared" ca="1" si="71"/>
        <v>#VALUE!</v>
      </c>
      <c r="AI202" s="185" t="e">
        <f t="shared" ca="1" si="71"/>
        <v>#VALUE!</v>
      </c>
      <c r="AJ202" s="185" t="e">
        <f t="shared" ca="1" si="71"/>
        <v>#VALUE!</v>
      </c>
      <c r="AK202" s="185" t="e">
        <f t="shared" ca="1" si="71"/>
        <v>#VALUE!</v>
      </c>
      <c r="AL202" s="185" t="e">
        <f t="shared" ca="1" si="71"/>
        <v>#VALUE!</v>
      </c>
      <c r="AM202" s="185" t="e">
        <f t="shared" ca="1" si="71"/>
        <v>#VALUE!</v>
      </c>
      <c r="AN202" s="185" t="e">
        <f t="shared" ca="1" si="71"/>
        <v>#VALUE!</v>
      </c>
      <c r="AO202" s="185" t="e">
        <f t="shared" ca="1" si="71"/>
        <v>#VALUE!</v>
      </c>
      <c r="AP202" s="185" t="e">
        <f t="shared" ca="1" si="71"/>
        <v>#VALUE!</v>
      </c>
    </row>
    <row r="203" spans="1:42">
      <c r="A203" s="57" t="str">
        <f>'[4]TS BYDem'!A142</f>
        <v/>
      </c>
      <c r="B203" s="185" t="s">
        <v>288</v>
      </c>
      <c r="C203" s="185" t="s">
        <v>137</v>
      </c>
      <c r="D203" s="185" t="str">
        <f>'[4]TS BYDem'!D142</f>
        <v>IFBS</v>
      </c>
      <c r="E203" s="185" t="s">
        <v>137</v>
      </c>
      <c r="F203" s="185" t="s">
        <v>137</v>
      </c>
      <c r="G203" s="185" t="s">
        <v>137</v>
      </c>
      <c r="H203" s="185" t="s">
        <v>137</v>
      </c>
      <c r="I203" s="185">
        <v>0</v>
      </c>
      <c r="J203" s="185">
        <f>INDEX('[4]TS BYDem'!$J$10:$J$203,MATCH(D203,'[4]TS BYDem'!$D$10:$D$203,0))</f>
        <v>20.421862032418336</v>
      </c>
      <c r="K203" s="185">
        <f t="shared" ca="1" si="68"/>
        <v>20.79695745750357</v>
      </c>
      <c r="L203" s="185">
        <f t="shared" ca="1" si="68"/>
        <v>21.066762938705232</v>
      </c>
      <c r="M203" s="192">
        <f t="shared" ref="M203" si="72">O203</f>
        <v>6.8922304000000008</v>
      </c>
      <c r="N203" s="192">
        <f t="shared" ref="N203" si="73">O203</f>
        <v>6.8922304000000008</v>
      </c>
      <c r="O203" s="192">
        <f>INDEX('[4]TS BYDem'!$O$10:$O$203,MATCH(D203,'[4]TS BYDem'!$D$10:$D$203,0))</f>
        <v>6.8922304000000008</v>
      </c>
      <c r="P203" s="185">
        <f t="shared" ca="1" si="68"/>
        <v>6.9394422839382486</v>
      </c>
      <c r="Q203" s="185">
        <f t="shared" ca="1" si="68"/>
        <v>6.8851838501584703</v>
      </c>
      <c r="R203" s="185">
        <f t="shared" ca="1" si="68"/>
        <v>6.5384935979552194</v>
      </c>
      <c r="S203" s="185">
        <f t="shared" ca="1" si="68"/>
        <v>6.7350923385338914</v>
      </c>
      <c r="T203" s="185">
        <f t="shared" ca="1" si="68"/>
        <v>6.9147793594928935</v>
      </c>
      <c r="U203" s="185">
        <f t="shared" ca="1" si="68"/>
        <v>7.0620522511808606</v>
      </c>
      <c r="V203" s="185">
        <f t="shared" ca="1" si="68"/>
        <v>7.2001646280748384</v>
      </c>
      <c r="W203" s="185">
        <f t="shared" ca="1" si="68"/>
        <v>7.3481421747469575</v>
      </c>
      <c r="X203" s="185">
        <f t="shared" ca="1" si="68"/>
        <v>7.551082810183007</v>
      </c>
      <c r="Y203" s="185">
        <f t="shared" ca="1" si="68"/>
        <v>7.7441582758409151</v>
      </c>
      <c r="Z203" s="185">
        <f t="shared" ca="1" si="68"/>
        <v>7.9379383964829771</v>
      </c>
      <c r="AA203" s="185">
        <f t="shared" ca="1" si="71"/>
        <v>8.1190347274102841</v>
      </c>
      <c r="AB203" s="185">
        <f t="shared" ca="1" si="71"/>
        <v>8.3036543332583559</v>
      </c>
      <c r="AC203" s="185">
        <f t="shared" ca="1" si="71"/>
        <v>8.4868646291381218</v>
      </c>
      <c r="AD203" s="185">
        <f t="shared" ca="1" si="71"/>
        <v>8.6566864803189816</v>
      </c>
      <c r="AE203" s="185">
        <f t="shared" ca="1" si="71"/>
        <v>8.8413060861670552</v>
      </c>
      <c r="AF203" s="185">
        <f t="shared" ca="1" si="71"/>
        <v>9.0343815518249642</v>
      </c>
      <c r="AG203" s="185">
        <f t="shared" ca="1" si="71"/>
        <v>9.2316849473877891</v>
      </c>
      <c r="AH203" s="185">
        <f t="shared" ca="1" si="71"/>
        <v>9.4508326474593574</v>
      </c>
      <c r="AI203" s="185">
        <f t="shared" ca="1" si="71"/>
        <v>9.6770268973724551</v>
      </c>
      <c r="AJ203" s="185">
        <f t="shared" ca="1" si="71"/>
        <v>9.8996978723647864</v>
      </c>
      <c r="AK203" s="185">
        <f t="shared" ca="1" si="71"/>
        <v>10.127301432246188</v>
      </c>
      <c r="AL203" s="185">
        <f t="shared" ca="1" si="71"/>
        <v>10.364770161905732</v>
      </c>
      <c r="AM203" s="185">
        <f t="shared" ca="1" si="71"/>
        <v>11.55704639509252</v>
      </c>
      <c r="AN203" s="185">
        <f t="shared" ca="1" si="71"/>
        <v>12.99313325279623</v>
      </c>
      <c r="AO203" s="185">
        <f t="shared" ca="1" si="71"/>
        <v>15.580861239600539</v>
      </c>
      <c r="AP203" s="185">
        <f t="shared" ca="1" si="71"/>
        <v>18.209224330491054</v>
      </c>
    </row>
    <row r="204" spans="1:42">
      <c r="A204" s="57" t="str">
        <f>'[4]TS BYDem'!A143</f>
        <v>*</v>
      </c>
      <c r="B204" s="185" t="s">
        <v>288</v>
      </c>
      <c r="C204" s="185" t="s">
        <v>137</v>
      </c>
      <c r="D204" s="185" t="str">
        <f>'[4]TS BYDem'!D143</f>
        <v>IFBS</v>
      </c>
      <c r="E204" s="185" t="s">
        <v>137</v>
      </c>
      <c r="F204" s="185" t="s">
        <v>137</v>
      </c>
      <c r="G204" s="185" t="s">
        <v>137</v>
      </c>
      <c r="H204" s="185" t="s">
        <v>137</v>
      </c>
      <c r="I204" s="185">
        <v>0</v>
      </c>
      <c r="J204" s="185">
        <f>INDEX('[4]TS BYDem'!$J$10:$J$203,MATCH(D204,'[4]TS BYDem'!$D$10:$D$203,0))</f>
        <v>20.421862032418336</v>
      </c>
      <c r="K204" s="185">
        <f t="shared" ca="1" si="68"/>
        <v>20.79695745750357</v>
      </c>
      <c r="L204" s="185">
        <f t="shared" ca="1" si="68"/>
        <v>21.066762938705232</v>
      </c>
      <c r="M204" s="185">
        <f t="shared" ca="1" si="68"/>
        <v>21.086504803183399</v>
      </c>
      <c r="N204" s="185">
        <f t="shared" ca="1" si="68"/>
        <v>21.373858608365659</v>
      </c>
      <c r="O204" s="185">
        <f t="shared" ca="1" si="68"/>
        <v>21.455019606775917</v>
      </c>
      <c r="P204" s="185">
        <f t="shared" ca="1" si="68"/>
        <v>21.601986820113407</v>
      </c>
      <c r="Q204" s="185">
        <f t="shared" ca="1" si="68"/>
        <v>21.43308420180017</v>
      </c>
      <c r="R204" s="185">
        <f t="shared" ca="1" si="68"/>
        <v>20.353862276993532</v>
      </c>
      <c r="S204" s="185">
        <f t="shared" ca="1" si="68"/>
        <v>20.965860075816806</v>
      </c>
      <c r="T204" s="185">
        <f t="shared" ca="1" si="68"/>
        <v>21.525212902698296</v>
      </c>
      <c r="U204" s="185">
        <f t="shared" ca="1" si="68"/>
        <v>21.983662866691361</v>
      </c>
      <c r="V204" s="185">
        <f t="shared" ca="1" si="68"/>
        <v>22.41359680421596</v>
      </c>
      <c r="W204" s="185">
        <f t="shared" ca="1" si="68"/>
        <v>22.874240308706597</v>
      </c>
      <c r="X204" s="185">
        <f t="shared" ca="1" si="68"/>
        <v>23.505979972008046</v>
      </c>
      <c r="Y204" s="185">
        <f t="shared" ca="1" si="68"/>
        <v>24.107010068343449</v>
      </c>
      <c r="Z204" s="185">
        <f t="shared" ca="1" si="68"/>
        <v>24.710233705176432</v>
      </c>
      <c r="AA204" s="185">
        <f t="shared" ca="1" si="71"/>
        <v>25.273973613053066</v>
      </c>
      <c r="AB204" s="185">
        <f t="shared" ca="1" si="71"/>
        <v>25.848681223417575</v>
      </c>
      <c r="AC204" s="185">
        <f t="shared" ca="1" si="71"/>
        <v>26.419001752786937</v>
      </c>
      <c r="AD204" s="185">
        <f t="shared" ca="1" si="71"/>
        <v>26.947645012702385</v>
      </c>
      <c r="AE204" s="185">
        <f t="shared" ca="1" si="71"/>
        <v>27.522352623066897</v>
      </c>
      <c r="AF204" s="185">
        <f t="shared" ca="1" si="71"/>
        <v>28.123382719402308</v>
      </c>
      <c r="AG204" s="185">
        <f t="shared" ca="1" si="71"/>
        <v>28.737574058723158</v>
      </c>
      <c r="AH204" s="185">
        <f t="shared" ca="1" si="71"/>
        <v>29.419765153468823</v>
      </c>
      <c r="AI204" s="185">
        <f t="shared" ca="1" si="71"/>
        <v>30.123891653190231</v>
      </c>
      <c r="AJ204" s="185">
        <f t="shared" ca="1" si="71"/>
        <v>30.817050450423764</v>
      </c>
      <c r="AK204" s="185">
        <f t="shared" ca="1" si="71"/>
        <v>31.525564031140316</v>
      </c>
      <c r="AL204" s="185">
        <f t="shared" ca="1" si="71"/>
        <v>32.264787178822914</v>
      </c>
      <c r="AM204" s="185">
        <f t="shared" ca="1" si="71"/>
        <v>35.976257700718918</v>
      </c>
      <c r="AN204" s="185">
        <f t="shared" ca="1" si="71"/>
        <v>40.446693234775687</v>
      </c>
      <c r="AO204" s="185">
        <f t="shared" ca="1" si="71"/>
        <v>48.502105122034884</v>
      </c>
      <c r="AP204" s="185">
        <f t="shared" ca="1" si="71"/>
        <v>56.684011177987706</v>
      </c>
    </row>
    <row r="205" spans="1:42">
      <c r="A205" s="57" t="str">
        <f>'[4]TS BYDem'!A144</f>
        <v>*</v>
      </c>
      <c r="B205" s="185" t="s">
        <v>288</v>
      </c>
      <c r="C205" s="185" t="s">
        <v>137</v>
      </c>
      <c r="D205" s="185" t="str">
        <f>'[4]TS BYDem'!D144</f>
        <v>IFBS</v>
      </c>
      <c r="E205" s="185" t="s">
        <v>137</v>
      </c>
      <c r="F205" s="185" t="s">
        <v>137</v>
      </c>
      <c r="G205" s="185" t="s">
        <v>137</v>
      </c>
      <c r="H205" s="185" t="s">
        <v>137</v>
      </c>
      <c r="I205" s="185">
        <v>0</v>
      </c>
      <c r="J205" s="185">
        <f>INDEX('[4]TS BYDem'!$J$10:$J$203,MATCH(D205,'[4]TS BYDem'!$D$10:$D$203,0))</f>
        <v>20.421862032418336</v>
      </c>
      <c r="K205" s="185">
        <f t="shared" ca="1" si="68"/>
        <v>20.79695745750357</v>
      </c>
      <c r="L205" s="185">
        <f t="shared" ca="1" si="68"/>
        <v>21.066762938705232</v>
      </c>
      <c r="M205" s="185">
        <f t="shared" ca="1" si="68"/>
        <v>21.086504803183399</v>
      </c>
      <c r="N205" s="185">
        <f t="shared" ca="1" si="68"/>
        <v>21.373858608365659</v>
      </c>
      <c r="O205" s="185">
        <f t="shared" ca="1" si="68"/>
        <v>21.455019606775917</v>
      </c>
      <c r="P205" s="185">
        <f t="shared" ca="1" si="68"/>
        <v>21.601986820113407</v>
      </c>
      <c r="Q205" s="185">
        <f t="shared" ca="1" si="68"/>
        <v>21.43308420180017</v>
      </c>
      <c r="R205" s="185">
        <f t="shared" ca="1" si="68"/>
        <v>20.353862276993532</v>
      </c>
      <c r="S205" s="185">
        <f t="shared" ca="1" si="68"/>
        <v>20.965860075816806</v>
      </c>
      <c r="T205" s="185">
        <f t="shared" ca="1" si="68"/>
        <v>21.525212902698296</v>
      </c>
      <c r="U205" s="185">
        <f t="shared" ca="1" si="68"/>
        <v>21.983662866691361</v>
      </c>
      <c r="V205" s="185">
        <f t="shared" ca="1" si="68"/>
        <v>22.41359680421596</v>
      </c>
      <c r="W205" s="185">
        <f t="shared" ca="1" si="68"/>
        <v>22.874240308706597</v>
      </c>
      <c r="X205" s="185">
        <f t="shared" ca="1" si="68"/>
        <v>23.505979972008046</v>
      </c>
      <c r="Y205" s="185">
        <f t="shared" ca="1" si="68"/>
        <v>24.107010068343449</v>
      </c>
      <c r="Z205" s="185">
        <f t="shared" ca="1" si="68"/>
        <v>24.710233705176432</v>
      </c>
      <c r="AA205" s="185">
        <f t="shared" ca="1" si="71"/>
        <v>25.273973613053066</v>
      </c>
      <c r="AB205" s="185">
        <f t="shared" ca="1" si="71"/>
        <v>25.848681223417575</v>
      </c>
      <c r="AC205" s="185">
        <f t="shared" ca="1" si="71"/>
        <v>26.419001752786937</v>
      </c>
      <c r="AD205" s="185">
        <f t="shared" ca="1" si="71"/>
        <v>26.947645012702385</v>
      </c>
      <c r="AE205" s="185">
        <f t="shared" ca="1" si="71"/>
        <v>27.522352623066897</v>
      </c>
      <c r="AF205" s="185">
        <f t="shared" ca="1" si="71"/>
        <v>28.123382719402308</v>
      </c>
      <c r="AG205" s="185">
        <f t="shared" ca="1" si="71"/>
        <v>28.737574058723158</v>
      </c>
      <c r="AH205" s="185">
        <f t="shared" ca="1" si="71"/>
        <v>29.419765153468823</v>
      </c>
      <c r="AI205" s="185">
        <f t="shared" ca="1" si="71"/>
        <v>30.123891653190231</v>
      </c>
      <c r="AJ205" s="185">
        <f t="shared" ca="1" si="71"/>
        <v>30.817050450423764</v>
      </c>
      <c r="AK205" s="185">
        <f t="shared" ca="1" si="71"/>
        <v>31.525564031140316</v>
      </c>
      <c r="AL205" s="185">
        <f t="shared" ca="1" si="71"/>
        <v>32.264787178822914</v>
      </c>
      <c r="AM205" s="185">
        <f t="shared" ca="1" si="71"/>
        <v>35.976257700718918</v>
      </c>
      <c r="AN205" s="185">
        <f t="shared" ca="1" si="71"/>
        <v>40.446693234775687</v>
      </c>
      <c r="AO205" s="185">
        <f t="shared" ca="1" si="71"/>
        <v>48.502105122034884</v>
      </c>
      <c r="AP205" s="185">
        <f t="shared" ca="1" si="71"/>
        <v>56.684011177987706</v>
      </c>
    </row>
    <row r="206" spans="1:42">
      <c r="A206" s="57" t="str">
        <f>'[4]TS BYDem'!A145</f>
        <v>*</v>
      </c>
      <c r="B206" s="185" t="s">
        <v>288</v>
      </c>
      <c r="C206" s="185" t="s">
        <v>137</v>
      </c>
      <c r="D206" s="185" t="str">
        <f>'[4]TS BYDem'!D145</f>
        <v>IFBS</v>
      </c>
      <c r="E206" s="185" t="s">
        <v>137</v>
      </c>
      <c r="F206" s="185" t="s">
        <v>137</v>
      </c>
      <c r="G206" s="185" t="s">
        <v>137</v>
      </c>
      <c r="H206" s="185" t="s">
        <v>137</v>
      </c>
      <c r="I206" s="185">
        <v>0</v>
      </c>
      <c r="J206" s="185">
        <f>INDEX('[4]TS BYDem'!$J$10:$J$203,MATCH(D206,'[4]TS BYDem'!$D$10:$D$203,0))</f>
        <v>20.421862032418336</v>
      </c>
      <c r="K206" s="185">
        <f t="shared" ca="1" si="68"/>
        <v>20.79695745750357</v>
      </c>
      <c r="L206" s="185">
        <f t="shared" ca="1" si="68"/>
        <v>21.066762938705232</v>
      </c>
      <c r="M206" s="185">
        <f t="shared" ca="1" si="68"/>
        <v>21.086504803183399</v>
      </c>
      <c r="N206" s="185">
        <f t="shared" ca="1" si="68"/>
        <v>21.373858608365659</v>
      </c>
      <c r="O206" s="185">
        <f t="shared" ca="1" si="68"/>
        <v>21.455019606775917</v>
      </c>
      <c r="P206" s="185">
        <f t="shared" ca="1" si="68"/>
        <v>21.601986820113407</v>
      </c>
      <c r="Q206" s="185">
        <f t="shared" ca="1" si="68"/>
        <v>21.43308420180017</v>
      </c>
      <c r="R206" s="185">
        <f t="shared" ca="1" si="68"/>
        <v>20.353862276993532</v>
      </c>
      <c r="S206" s="185">
        <f t="shared" ca="1" si="68"/>
        <v>20.965860075816806</v>
      </c>
      <c r="T206" s="185">
        <f t="shared" ca="1" si="68"/>
        <v>21.525212902698296</v>
      </c>
      <c r="U206" s="185">
        <f t="shared" ca="1" si="68"/>
        <v>21.983662866691361</v>
      </c>
      <c r="V206" s="185">
        <f t="shared" ca="1" si="68"/>
        <v>22.41359680421596</v>
      </c>
      <c r="W206" s="185">
        <f t="shared" ca="1" si="68"/>
        <v>22.874240308706597</v>
      </c>
      <c r="X206" s="185">
        <f t="shared" ca="1" si="68"/>
        <v>23.505979972008046</v>
      </c>
      <c r="Y206" s="185">
        <f t="shared" ca="1" si="68"/>
        <v>24.107010068343449</v>
      </c>
      <c r="Z206" s="185">
        <f t="shared" ca="1" si="68"/>
        <v>24.710233705176432</v>
      </c>
      <c r="AA206" s="185">
        <f t="shared" ca="1" si="71"/>
        <v>25.273973613053066</v>
      </c>
      <c r="AB206" s="185">
        <f t="shared" ca="1" si="71"/>
        <v>25.848681223417575</v>
      </c>
      <c r="AC206" s="185">
        <f t="shared" ca="1" si="71"/>
        <v>26.419001752786937</v>
      </c>
      <c r="AD206" s="185">
        <f t="shared" ca="1" si="71"/>
        <v>26.947645012702385</v>
      </c>
      <c r="AE206" s="185">
        <f t="shared" ca="1" si="71"/>
        <v>27.522352623066897</v>
      </c>
      <c r="AF206" s="185">
        <f t="shared" ca="1" si="71"/>
        <v>28.123382719402308</v>
      </c>
      <c r="AG206" s="185">
        <f t="shared" ca="1" si="71"/>
        <v>28.737574058723158</v>
      </c>
      <c r="AH206" s="185">
        <f t="shared" ca="1" si="71"/>
        <v>29.419765153468823</v>
      </c>
      <c r="AI206" s="185">
        <f t="shared" ca="1" si="71"/>
        <v>30.123891653190231</v>
      </c>
      <c r="AJ206" s="185">
        <f t="shared" ca="1" si="71"/>
        <v>30.817050450423764</v>
      </c>
      <c r="AK206" s="185">
        <f t="shared" ca="1" si="71"/>
        <v>31.525564031140316</v>
      </c>
      <c r="AL206" s="185">
        <f t="shared" ca="1" si="71"/>
        <v>32.264787178822914</v>
      </c>
      <c r="AM206" s="185">
        <f t="shared" ca="1" si="71"/>
        <v>35.976257700718918</v>
      </c>
      <c r="AN206" s="185">
        <f t="shared" ca="1" si="71"/>
        <v>40.446693234775687</v>
      </c>
      <c r="AO206" s="185">
        <f t="shared" ca="1" si="71"/>
        <v>48.502105122034884</v>
      </c>
      <c r="AP206" s="185">
        <f t="shared" ca="1" si="71"/>
        <v>56.684011177987706</v>
      </c>
    </row>
    <row r="207" spans="1:42">
      <c r="A207" s="57" t="str">
        <f>'[4]TS BYDem'!A146</f>
        <v>*</v>
      </c>
      <c r="B207" s="185" t="s">
        <v>288</v>
      </c>
      <c r="C207" s="185" t="s">
        <v>137</v>
      </c>
      <c r="D207" s="185" t="str">
        <f>'[4]TS BYDem'!D146</f>
        <v>IFBS</v>
      </c>
      <c r="E207" s="185" t="s">
        <v>137</v>
      </c>
      <c r="F207" s="185" t="s">
        <v>137</v>
      </c>
      <c r="G207" s="185" t="s">
        <v>137</v>
      </c>
      <c r="H207" s="185" t="s">
        <v>137</v>
      </c>
      <c r="I207" s="185">
        <v>0</v>
      </c>
      <c r="J207" s="185">
        <f>INDEX('[4]TS BYDem'!$J$10:$J$203,MATCH(D207,'[4]TS BYDem'!$D$10:$D$203,0))</f>
        <v>20.421862032418336</v>
      </c>
      <c r="K207" s="185">
        <f t="shared" ca="1" si="68"/>
        <v>20.79695745750357</v>
      </c>
      <c r="L207" s="185">
        <f t="shared" ca="1" si="68"/>
        <v>21.066762938705232</v>
      </c>
      <c r="M207" s="185">
        <f t="shared" ca="1" si="68"/>
        <v>21.086504803183399</v>
      </c>
      <c r="N207" s="185">
        <f t="shared" ca="1" si="68"/>
        <v>21.373858608365659</v>
      </c>
      <c r="O207" s="185">
        <f t="shared" ca="1" si="68"/>
        <v>21.455019606775917</v>
      </c>
      <c r="P207" s="185">
        <f t="shared" ca="1" si="68"/>
        <v>21.601986820113407</v>
      </c>
      <c r="Q207" s="185">
        <f t="shared" ca="1" si="68"/>
        <v>21.43308420180017</v>
      </c>
      <c r="R207" s="185">
        <f t="shared" ca="1" si="68"/>
        <v>20.353862276993532</v>
      </c>
      <c r="S207" s="185">
        <f t="shared" ca="1" si="68"/>
        <v>20.965860075816806</v>
      </c>
      <c r="T207" s="185">
        <f t="shared" ca="1" si="68"/>
        <v>21.525212902698296</v>
      </c>
      <c r="U207" s="185">
        <f t="shared" ca="1" si="68"/>
        <v>21.983662866691361</v>
      </c>
      <c r="V207" s="185">
        <f t="shared" ca="1" si="68"/>
        <v>22.41359680421596</v>
      </c>
      <c r="W207" s="185">
        <f t="shared" ca="1" si="68"/>
        <v>22.874240308706597</v>
      </c>
      <c r="X207" s="185">
        <f t="shared" ca="1" si="68"/>
        <v>23.505979972008046</v>
      </c>
      <c r="Y207" s="185">
        <f t="shared" ca="1" si="68"/>
        <v>24.107010068343449</v>
      </c>
      <c r="Z207" s="185">
        <f t="shared" ca="1" si="68"/>
        <v>24.710233705176432</v>
      </c>
      <c r="AA207" s="185">
        <f t="shared" ca="1" si="71"/>
        <v>25.273973613053066</v>
      </c>
      <c r="AB207" s="185">
        <f t="shared" ca="1" si="71"/>
        <v>25.848681223417575</v>
      </c>
      <c r="AC207" s="185">
        <f t="shared" ca="1" si="71"/>
        <v>26.419001752786937</v>
      </c>
      <c r="AD207" s="185">
        <f t="shared" ca="1" si="71"/>
        <v>26.947645012702385</v>
      </c>
      <c r="AE207" s="185">
        <f t="shared" ca="1" si="71"/>
        <v>27.522352623066897</v>
      </c>
      <c r="AF207" s="185">
        <f t="shared" ca="1" si="71"/>
        <v>28.123382719402308</v>
      </c>
      <c r="AG207" s="185">
        <f t="shared" ca="1" si="71"/>
        <v>28.737574058723158</v>
      </c>
      <c r="AH207" s="185">
        <f t="shared" ca="1" si="71"/>
        <v>29.419765153468823</v>
      </c>
      <c r="AI207" s="185">
        <f t="shared" ca="1" si="71"/>
        <v>30.123891653190231</v>
      </c>
      <c r="AJ207" s="185">
        <f t="shared" ca="1" si="71"/>
        <v>30.817050450423764</v>
      </c>
      <c r="AK207" s="185">
        <f t="shared" ca="1" si="71"/>
        <v>31.525564031140316</v>
      </c>
      <c r="AL207" s="185">
        <f t="shared" ca="1" si="71"/>
        <v>32.264787178822914</v>
      </c>
      <c r="AM207" s="185">
        <f t="shared" ca="1" si="71"/>
        <v>35.976257700718918</v>
      </c>
      <c r="AN207" s="185">
        <f t="shared" ca="1" si="71"/>
        <v>40.446693234775687</v>
      </c>
      <c r="AO207" s="185">
        <f t="shared" ca="1" si="71"/>
        <v>48.502105122034884</v>
      </c>
      <c r="AP207" s="185">
        <f t="shared" ca="1" si="71"/>
        <v>56.684011177987706</v>
      </c>
    </row>
    <row r="208" spans="1:42">
      <c r="A208" s="57" t="str">
        <f>'[4]TS BYDem'!A147</f>
        <v>*</v>
      </c>
      <c r="B208" s="185" t="s">
        <v>288</v>
      </c>
      <c r="C208" s="185" t="s">
        <v>137</v>
      </c>
      <c r="D208" s="185" t="str">
        <f>'[4]TS BYDem'!D147</f>
        <v>IFBS</v>
      </c>
      <c r="E208" s="185" t="s">
        <v>137</v>
      </c>
      <c r="F208" s="185" t="s">
        <v>137</v>
      </c>
      <c r="G208" s="185" t="s">
        <v>137</v>
      </c>
      <c r="H208" s="185" t="s">
        <v>137</v>
      </c>
      <c r="I208" s="185">
        <v>0</v>
      </c>
      <c r="J208" s="185">
        <f>INDEX('[4]TS BYDem'!$J$10:$J$203,MATCH(D208,'[4]TS BYDem'!$D$10:$D$203,0))</f>
        <v>20.421862032418336</v>
      </c>
      <c r="K208" s="185">
        <f t="shared" ca="1" si="68"/>
        <v>20.79695745750357</v>
      </c>
      <c r="L208" s="185">
        <f t="shared" ca="1" si="68"/>
        <v>21.066762938705232</v>
      </c>
      <c r="M208" s="185">
        <f t="shared" ca="1" si="68"/>
        <v>21.086504803183399</v>
      </c>
      <c r="N208" s="185">
        <f t="shared" ca="1" si="68"/>
        <v>21.373858608365659</v>
      </c>
      <c r="O208" s="185">
        <f t="shared" ca="1" si="68"/>
        <v>21.455019606775917</v>
      </c>
      <c r="P208" s="185">
        <f t="shared" ca="1" si="68"/>
        <v>21.601986820113407</v>
      </c>
      <c r="Q208" s="185">
        <f t="shared" ca="1" si="68"/>
        <v>21.43308420180017</v>
      </c>
      <c r="R208" s="185">
        <f t="shared" ca="1" si="68"/>
        <v>20.353862276993532</v>
      </c>
      <c r="S208" s="185">
        <f t="shared" ca="1" si="68"/>
        <v>20.965860075816806</v>
      </c>
      <c r="T208" s="185">
        <f t="shared" ca="1" si="68"/>
        <v>21.525212902698296</v>
      </c>
      <c r="U208" s="185">
        <f t="shared" ca="1" si="68"/>
        <v>21.983662866691361</v>
      </c>
      <c r="V208" s="185">
        <f t="shared" ca="1" si="68"/>
        <v>22.41359680421596</v>
      </c>
      <c r="W208" s="185">
        <f t="shared" ca="1" si="68"/>
        <v>22.874240308706597</v>
      </c>
      <c r="X208" s="185">
        <f t="shared" ca="1" si="68"/>
        <v>23.505979972008046</v>
      </c>
      <c r="Y208" s="185">
        <f t="shared" ca="1" si="68"/>
        <v>24.107010068343449</v>
      </c>
      <c r="Z208" s="185">
        <f t="shared" ca="1" si="68"/>
        <v>24.710233705176432</v>
      </c>
      <c r="AA208" s="185">
        <f t="shared" ca="1" si="71"/>
        <v>25.273973613053066</v>
      </c>
      <c r="AB208" s="185">
        <f t="shared" ca="1" si="71"/>
        <v>25.848681223417575</v>
      </c>
      <c r="AC208" s="185">
        <f t="shared" ca="1" si="71"/>
        <v>26.419001752786937</v>
      </c>
      <c r="AD208" s="185">
        <f t="shared" ca="1" si="71"/>
        <v>26.947645012702385</v>
      </c>
      <c r="AE208" s="185">
        <f t="shared" ca="1" si="71"/>
        <v>27.522352623066897</v>
      </c>
      <c r="AF208" s="185">
        <f t="shared" ca="1" si="71"/>
        <v>28.123382719402308</v>
      </c>
      <c r="AG208" s="185">
        <f t="shared" ca="1" si="71"/>
        <v>28.737574058723158</v>
      </c>
      <c r="AH208" s="185">
        <f t="shared" ca="1" si="71"/>
        <v>29.419765153468823</v>
      </c>
      <c r="AI208" s="185">
        <f t="shared" ca="1" si="71"/>
        <v>30.123891653190231</v>
      </c>
      <c r="AJ208" s="185">
        <f t="shared" ca="1" si="71"/>
        <v>30.817050450423764</v>
      </c>
      <c r="AK208" s="185">
        <f t="shared" ca="1" si="71"/>
        <v>31.525564031140316</v>
      </c>
      <c r="AL208" s="185">
        <f t="shared" ca="1" si="71"/>
        <v>32.264787178822914</v>
      </c>
      <c r="AM208" s="185">
        <f t="shared" ca="1" si="71"/>
        <v>35.976257700718918</v>
      </c>
      <c r="AN208" s="185">
        <f t="shared" ca="1" si="71"/>
        <v>40.446693234775687</v>
      </c>
      <c r="AO208" s="185">
        <f t="shared" ca="1" si="71"/>
        <v>48.502105122034884</v>
      </c>
      <c r="AP208" s="185">
        <f t="shared" ref="AP208" ca="1" si="74">AP$192/AO$192*AO208</f>
        <v>56.684011177987706</v>
      </c>
    </row>
    <row r="209" spans="1:42">
      <c r="A209" s="57" t="str">
        <f>'[4]TS BYDem'!A148</f>
        <v>*</v>
      </c>
      <c r="B209" s="185" t="s">
        <v>288</v>
      </c>
      <c r="C209" s="185" t="s">
        <v>137</v>
      </c>
      <c r="D209" s="185" t="str">
        <f>'[4]TS BYDem'!D148</f>
        <v>IFBS</v>
      </c>
      <c r="E209" s="185" t="s">
        <v>137</v>
      </c>
      <c r="F209" s="185" t="s">
        <v>137</v>
      </c>
      <c r="G209" s="185" t="s">
        <v>137</v>
      </c>
      <c r="H209" s="185" t="s">
        <v>137</v>
      </c>
      <c r="I209" s="185">
        <v>0</v>
      </c>
      <c r="J209" s="185">
        <f>INDEX('[4]TS BYDem'!$J$10:$J$203,MATCH(D209,'[4]TS BYDem'!$D$10:$D$203,0))</f>
        <v>20.421862032418336</v>
      </c>
    </row>
    <row r="210" spans="1:42">
      <c r="A210" s="57" t="str">
        <f>'[4]TS BYDem'!A149</f>
        <v>*</v>
      </c>
      <c r="B210" s="185" t="s">
        <v>288</v>
      </c>
      <c r="C210" s="185" t="s">
        <v>137</v>
      </c>
      <c r="D210" s="185" t="str">
        <f>'[4]TS BYDem'!D149</f>
        <v>Useful Energy Service</v>
      </c>
      <c r="E210" s="185" t="s">
        <v>137</v>
      </c>
      <c r="F210" s="185" t="s">
        <v>137</v>
      </c>
      <c r="G210" s="185" t="s">
        <v>137</v>
      </c>
      <c r="H210" s="185" t="s">
        <v>137</v>
      </c>
      <c r="I210" s="185">
        <v>0</v>
      </c>
      <c r="J210" s="185" t="str">
        <f>INDEX('[4]TS BYDem'!$J$10:$J$203,MATCH(D210,'[4]TS BYDem'!$D$10:$D$203,0))</f>
        <v/>
      </c>
    </row>
    <row r="211" spans="1:42" s="5" customFormat="1">
      <c r="A211" s="57" t="str">
        <f>'[4]TS BYDem'!A146</f>
        <v>*</v>
      </c>
      <c r="B211" s="5">
        <f>B192+1</f>
        <v>11</v>
      </c>
      <c r="C211" s="3" t="str">
        <f ca="1">OFFSET($C$9,$B211,0)</f>
        <v>Pulp &amp; Paper Products</v>
      </c>
      <c r="D211" s="3" t="str">
        <f ca="1">OFFSET($B$9,$B211,0)</f>
        <v>PP</v>
      </c>
      <c r="J211" s="5">
        <f ca="1">SUMIF($B$10:$B$22,$D211,J$10:J$22)*SUMIF($B$10:$B$22,$D211,J$41:J$53)</f>
        <v>71.12</v>
      </c>
      <c r="K211" s="5">
        <f t="shared" ref="K211:AP211" ca="1" si="75">SUMIF($B$10:$B$22,$D211,K$10:K$22)*SUMIF($B$10:$B$22,$D211,K$41:K$53)</f>
        <v>72.760000000000005</v>
      </c>
      <c r="L211" s="5">
        <f t="shared" ca="1" si="75"/>
        <v>74.16</v>
      </c>
      <c r="M211" s="5">
        <f t="shared" ca="1" si="75"/>
        <v>74.92</v>
      </c>
      <c r="N211" s="5">
        <f t="shared" ca="1" si="75"/>
        <v>76.52</v>
      </c>
      <c r="O211" s="5">
        <f t="shared" ca="1" si="75"/>
        <v>76.92</v>
      </c>
      <c r="P211" s="5">
        <f t="shared" ca="1" si="75"/>
        <v>78</v>
      </c>
      <c r="Q211" s="5">
        <f t="shared" ca="1" si="75"/>
        <v>78.08</v>
      </c>
      <c r="R211" s="5">
        <f t="shared" ca="1" si="75"/>
        <v>72.64</v>
      </c>
      <c r="S211" s="5">
        <f t="shared" ca="1" si="75"/>
        <v>74.72</v>
      </c>
      <c r="T211" s="5">
        <f t="shared" ca="1" si="75"/>
        <v>76.599999999999994</v>
      </c>
      <c r="U211" s="5">
        <f t="shared" ca="1" si="75"/>
        <v>78.44</v>
      </c>
      <c r="V211" s="5">
        <f t="shared" ca="1" si="75"/>
        <v>80.16</v>
      </c>
      <c r="W211" s="5">
        <f t="shared" ca="1" si="75"/>
        <v>82.04</v>
      </c>
      <c r="X211" s="5">
        <f t="shared" ca="1" si="75"/>
        <v>84.44</v>
      </c>
      <c r="Y211" s="5">
        <f t="shared" ca="1" si="75"/>
        <v>86.76</v>
      </c>
      <c r="Z211" s="5">
        <f t="shared" ca="1" si="75"/>
        <v>89.12</v>
      </c>
      <c r="AA211" s="5">
        <f t="shared" ca="1" si="75"/>
        <v>91.32</v>
      </c>
      <c r="AB211" s="5">
        <f t="shared" ca="1" si="75"/>
        <v>93.68</v>
      </c>
      <c r="AC211" s="5">
        <f t="shared" ca="1" si="75"/>
        <v>96.08</v>
      </c>
      <c r="AD211" s="5">
        <f t="shared" ca="1" si="75"/>
        <v>98.44</v>
      </c>
      <c r="AE211" s="5">
        <f t="shared" ca="1" si="75"/>
        <v>101.04</v>
      </c>
      <c r="AF211" s="5">
        <f t="shared" ca="1" si="75"/>
        <v>103.76</v>
      </c>
      <c r="AG211" s="5">
        <f t="shared" ca="1" si="75"/>
        <v>106.6</v>
      </c>
      <c r="AH211" s="5">
        <f t="shared" ca="1" si="75"/>
        <v>109.68</v>
      </c>
      <c r="AI211" s="5">
        <f t="shared" ca="1" si="75"/>
        <v>112.88</v>
      </c>
      <c r="AJ211" s="5">
        <f t="shared" ca="1" si="75"/>
        <v>116.12</v>
      </c>
      <c r="AK211" s="5">
        <f t="shared" ca="1" si="75"/>
        <v>119.52</v>
      </c>
      <c r="AL211" s="5">
        <f t="shared" ca="1" si="75"/>
        <v>123.12</v>
      </c>
      <c r="AM211" s="5">
        <f t="shared" ca="1" si="75"/>
        <v>142.47999999999999</v>
      </c>
      <c r="AN211" s="5">
        <f t="shared" ca="1" si="75"/>
        <v>166.8</v>
      </c>
      <c r="AO211" s="5">
        <f t="shared" ca="1" si="75"/>
        <v>209.65333333333183</v>
      </c>
      <c r="AP211" s="5">
        <f t="shared" ca="1" si="75"/>
        <v>253.33333333333212</v>
      </c>
    </row>
    <row r="212" spans="1:42">
      <c r="A212" s="57" t="str">
        <f>'[4]TS BYDem'!A151</f>
        <v>*</v>
      </c>
      <c r="B212" s="185" t="s">
        <v>288</v>
      </c>
      <c r="C212" s="185" t="s">
        <v>137</v>
      </c>
      <c r="D212" s="185">
        <f>'[4]TS BYDem'!D151</f>
        <v>2</v>
      </c>
      <c r="E212" s="185" t="s">
        <v>137</v>
      </c>
      <c r="F212" s="185" t="s">
        <v>137</v>
      </c>
      <c r="G212" s="185" t="s">
        <v>137</v>
      </c>
      <c r="H212" s="185" t="s">
        <v>137</v>
      </c>
      <c r="I212" s="185">
        <v>0</v>
      </c>
      <c r="J212" s="185" t="str">
        <f>INDEX('[4]TS BYDem'!$J$10:$J$203,MATCH(D212,'[4]TS BYDem'!$D$10:$D$203,0))</f>
        <v/>
      </c>
      <c r="K212" s="185" t="e">
        <f t="shared" ref="K212:Z227" ca="1" si="76">K$211/J$211*J212</f>
        <v>#VALUE!</v>
      </c>
      <c r="L212" s="185" t="e">
        <f t="shared" ca="1" si="76"/>
        <v>#VALUE!</v>
      </c>
      <c r="M212" s="185" t="e">
        <f t="shared" ca="1" si="76"/>
        <v>#VALUE!</v>
      </c>
      <c r="N212" s="185" t="e">
        <f t="shared" ca="1" si="76"/>
        <v>#VALUE!</v>
      </c>
      <c r="O212" s="185" t="e">
        <f t="shared" ca="1" si="76"/>
        <v>#VALUE!</v>
      </c>
      <c r="P212" s="185" t="e">
        <f t="shared" ca="1" si="76"/>
        <v>#VALUE!</v>
      </c>
      <c r="Q212" s="185" t="e">
        <f t="shared" ca="1" si="76"/>
        <v>#VALUE!</v>
      </c>
      <c r="R212" s="185" t="e">
        <f t="shared" ca="1" si="76"/>
        <v>#VALUE!</v>
      </c>
      <c r="S212" s="185" t="e">
        <f t="shared" ca="1" si="76"/>
        <v>#VALUE!</v>
      </c>
      <c r="T212" s="185" t="e">
        <f t="shared" ca="1" si="76"/>
        <v>#VALUE!</v>
      </c>
      <c r="U212" s="185" t="e">
        <f t="shared" ca="1" si="76"/>
        <v>#VALUE!</v>
      </c>
      <c r="V212" s="185" t="e">
        <f t="shared" ca="1" si="76"/>
        <v>#VALUE!</v>
      </c>
      <c r="W212" s="185" t="e">
        <f t="shared" ca="1" si="76"/>
        <v>#VALUE!</v>
      </c>
      <c r="X212" s="185" t="e">
        <f t="shared" ca="1" si="76"/>
        <v>#VALUE!</v>
      </c>
      <c r="Y212" s="185" t="e">
        <f t="shared" ca="1" si="76"/>
        <v>#VALUE!</v>
      </c>
      <c r="Z212" s="185" t="e">
        <f t="shared" ca="1" si="76"/>
        <v>#VALUE!</v>
      </c>
      <c r="AA212" s="185" t="e">
        <f t="shared" ref="AA212:AP227" ca="1" si="77">AA$211/Z$211*Z212</f>
        <v>#VALUE!</v>
      </c>
      <c r="AB212" s="185" t="e">
        <f t="shared" ca="1" si="77"/>
        <v>#VALUE!</v>
      </c>
      <c r="AC212" s="185" t="e">
        <f t="shared" ca="1" si="77"/>
        <v>#VALUE!</v>
      </c>
      <c r="AD212" s="185" t="e">
        <f t="shared" ca="1" si="77"/>
        <v>#VALUE!</v>
      </c>
      <c r="AE212" s="185" t="e">
        <f t="shared" ca="1" si="77"/>
        <v>#VALUE!</v>
      </c>
      <c r="AF212" s="185" t="e">
        <f t="shared" ca="1" si="77"/>
        <v>#VALUE!</v>
      </c>
      <c r="AG212" s="185" t="e">
        <f t="shared" ca="1" si="77"/>
        <v>#VALUE!</v>
      </c>
      <c r="AH212" s="185" t="e">
        <f t="shared" ca="1" si="77"/>
        <v>#VALUE!</v>
      </c>
      <c r="AI212" s="185" t="e">
        <f t="shared" ca="1" si="77"/>
        <v>#VALUE!</v>
      </c>
      <c r="AJ212" s="185" t="e">
        <f t="shared" ca="1" si="77"/>
        <v>#VALUE!</v>
      </c>
      <c r="AK212" s="185" t="e">
        <f t="shared" ca="1" si="77"/>
        <v>#VALUE!</v>
      </c>
      <c r="AL212" s="185" t="e">
        <f t="shared" ca="1" si="77"/>
        <v>#VALUE!</v>
      </c>
      <c r="AM212" s="185" t="e">
        <f t="shared" ca="1" si="77"/>
        <v>#VALUE!</v>
      </c>
      <c r="AN212" s="185" t="e">
        <f t="shared" ca="1" si="77"/>
        <v>#VALUE!</v>
      </c>
      <c r="AO212" s="185" t="e">
        <f t="shared" ca="1" si="77"/>
        <v>#VALUE!</v>
      </c>
      <c r="AP212" s="185" t="e">
        <f t="shared" ca="1" si="77"/>
        <v>#VALUE!</v>
      </c>
    </row>
    <row r="213" spans="1:42">
      <c r="A213" s="57" t="str">
        <f>'[4]TS BYDem'!A152</f>
        <v>*</v>
      </c>
      <c r="B213" s="185" t="s">
        <v>288</v>
      </c>
      <c r="C213" s="185" t="s">
        <v>137</v>
      </c>
      <c r="D213" s="185" t="str">
        <f>'[4]TS BYDem'!D152</f>
        <v>IPPK</v>
      </c>
      <c r="E213" s="185" t="s">
        <v>137</v>
      </c>
      <c r="F213" s="185" t="s">
        <v>137</v>
      </c>
      <c r="G213" s="185" t="s">
        <v>137</v>
      </c>
      <c r="H213" s="185" t="s">
        <v>137</v>
      </c>
      <c r="I213" s="185">
        <v>0</v>
      </c>
      <c r="J213" s="185" t="str">
        <f>INDEX('[4]TS BYDem'!$J$10:$J$203,MATCH(D213,'[4]TS BYDem'!$D$10:$D$203,0))</f>
        <v/>
      </c>
      <c r="K213" s="185" t="e">
        <f t="shared" ca="1" si="76"/>
        <v>#VALUE!</v>
      </c>
      <c r="L213" s="185" t="e">
        <f t="shared" ca="1" si="76"/>
        <v>#VALUE!</v>
      </c>
      <c r="M213" s="185" t="e">
        <f t="shared" ca="1" si="76"/>
        <v>#VALUE!</v>
      </c>
      <c r="N213" s="185" t="e">
        <f t="shared" ca="1" si="76"/>
        <v>#VALUE!</v>
      </c>
      <c r="O213" s="185" t="e">
        <f t="shared" ca="1" si="76"/>
        <v>#VALUE!</v>
      </c>
      <c r="P213" s="185" t="e">
        <f t="shared" ca="1" si="76"/>
        <v>#VALUE!</v>
      </c>
      <c r="Q213" s="185" t="e">
        <f t="shared" ca="1" si="76"/>
        <v>#VALUE!</v>
      </c>
      <c r="R213" s="185" t="e">
        <f t="shared" ca="1" si="76"/>
        <v>#VALUE!</v>
      </c>
      <c r="S213" s="185" t="e">
        <f t="shared" ca="1" si="76"/>
        <v>#VALUE!</v>
      </c>
      <c r="T213" s="185" t="e">
        <f t="shared" ca="1" si="76"/>
        <v>#VALUE!</v>
      </c>
      <c r="U213" s="185" t="e">
        <f t="shared" ca="1" si="76"/>
        <v>#VALUE!</v>
      </c>
      <c r="V213" s="185" t="e">
        <f t="shared" ca="1" si="76"/>
        <v>#VALUE!</v>
      </c>
      <c r="W213" s="185" t="e">
        <f t="shared" ca="1" si="76"/>
        <v>#VALUE!</v>
      </c>
      <c r="X213" s="185" t="e">
        <f t="shared" ca="1" si="76"/>
        <v>#VALUE!</v>
      </c>
      <c r="Y213" s="185" t="e">
        <f t="shared" ca="1" si="76"/>
        <v>#VALUE!</v>
      </c>
      <c r="Z213" s="185" t="e">
        <f t="shared" ca="1" si="76"/>
        <v>#VALUE!</v>
      </c>
      <c r="AA213" s="185" t="e">
        <f t="shared" ca="1" si="77"/>
        <v>#VALUE!</v>
      </c>
      <c r="AB213" s="185" t="e">
        <f t="shared" ca="1" si="77"/>
        <v>#VALUE!</v>
      </c>
      <c r="AC213" s="185" t="e">
        <f t="shared" ca="1" si="77"/>
        <v>#VALUE!</v>
      </c>
      <c r="AD213" s="185" t="e">
        <f t="shared" ca="1" si="77"/>
        <v>#VALUE!</v>
      </c>
      <c r="AE213" s="185" t="e">
        <f t="shared" ca="1" si="77"/>
        <v>#VALUE!</v>
      </c>
      <c r="AF213" s="185" t="e">
        <f t="shared" ca="1" si="77"/>
        <v>#VALUE!</v>
      </c>
      <c r="AG213" s="185" t="e">
        <f t="shared" ca="1" si="77"/>
        <v>#VALUE!</v>
      </c>
      <c r="AH213" s="185" t="e">
        <f t="shared" ca="1" si="77"/>
        <v>#VALUE!</v>
      </c>
      <c r="AI213" s="185" t="e">
        <f t="shared" ca="1" si="77"/>
        <v>#VALUE!</v>
      </c>
      <c r="AJ213" s="185" t="e">
        <f t="shared" ca="1" si="77"/>
        <v>#VALUE!</v>
      </c>
      <c r="AK213" s="185" t="e">
        <f t="shared" ca="1" si="77"/>
        <v>#VALUE!</v>
      </c>
      <c r="AL213" s="185" t="e">
        <f t="shared" ca="1" si="77"/>
        <v>#VALUE!</v>
      </c>
      <c r="AM213" s="185" t="e">
        <f t="shared" ca="1" si="77"/>
        <v>#VALUE!</v>
      </c>
      <c r="AN213" s="185" t="e">
        <f t="shared" ca="1" si="77"/>
        <v>#VALUE!</v>
      </c>
      <c r="AO213" s="185" t="e">
        <f t="shared" ca="1" si="77"/>
        <v>#VALUE!</v>
      </c>
      <c r="AP213" s="185" t="e">
        <f t="shared" ca="1" si="77"/>
        <v>#VALUE!</v>
      </c>
    </row>
    <row r="214" spans="1:42">
      <c r="A214" s="57" t="str">
        <f>'[4]TS BYDem'!A153</f>
        <v>*</v>
      </c>
      <c r="B214" s="185" t="s">
        <v>288</v>
      </c>
      <c r="C214" s="185" t="s">
        <v>137</v>
      </c>
      <c r="D214" s="185" t="str">
        <f>'[4]TS BYDem'!D153</f>
        <v>IPPA</v>
      </c>
      <c r="E214" s="185" t="s">
        <v>137</v>
      </c>
      <c r="F214" s="185" t="s">
        <v>137</v>
      </c>
      <c r="G214" s="185" t="s">
        <v>137</v>
      </c>
      <c r="H214" s="185" t="s">
        <v>137</v>
      </c>
      <c r="I214" s="185">
        <v>0</v>
      </c>
      <c r="J214" s="185" t="str">
        <f>INDEX('[4]TS BYDem'!$J$10:$J$203,MATCH(D214,'[4]TS BYDem'!$D$10:$D$203,0))</f>
        <v/>
      </c>
      <c r="K214" s="185" t="e">
        <f t="shared" ca="1" si="76"/>
        <v>#VALUE!</v>
      </c>
      <c r="L214" s="185" t="e">
        <f t="shared" ca="1" si="76"/>
        <v>#VALUE!</v>
      </c>
      <c r="M214" s="185" t="e">
        <f t="shared" ca="1" si="76"/>
        <v>#VALUE!</v>
      </c>
      <c r="N214" s="185" t="e">
        <f t="shared" ca="1" si="76"/>
        <v>#VALUE!</v>
      </c>
      <c r="O214" s="185" t="e">
        <f t="shared" ca="1" si="76"/>
        <v>#VALUE!</v>
      </c>
      <c r="P214" s="185" t="e">
        <f t="shared" ca="1" si="76"/>
        <v>#VALUE!</v>
      </c>
      <c r="Q214" s="185" t="e">
        <f t="shared" ca="1" si="76"/>
        <v>#VALUE!</v>
      </c>
      <c r="R214" s="185" t="e">
        <f t="shared" ca="1" si="76"/>
        <v>#VALUE!</v>
      </c>
      <c r="S214" s="185" t="e">
        <f t="shared" ca="1" si="76"/>
        <v>#VALUE!</v>
      </c>
      <c r="T214" s="185" t="e">
        <f t="shared" ca="1" si="76"/>
        <v>#VALUE!</v>
      </c>
      <c r="U214" s="185" t="e">
        <f t="shared" ca="1" si="76"/>
        <v>#VALUE!</v>
      </c>
      <c r="V214" s="185" t="e">
        <f t="shared" ca="1" si="76"/>
        <v>#VALUE!</v>
      </c>
      <c r="W214" s="185" t="e">
        <f t="shared" ca="1" si="76"/>
        <v>#VALUE!</v>
      </c>
      <c r="X214" s="185" t="e">
        <f t="shared" ca="1" si="76"/>
        <v>#VALUE!</v>
      </c>
      <c r="Y214" s="185" t="e">
        <f t="shared" ca="1" si="76"/>
        <v>#VALUE!</v>
      </c>
      <c r="Z214" s="185" t="e">
        <f t="shared" ca="1" si="76"/>
        <v>#VALUE!</v>
      </c>
      <c r="AA214" s="185" t="e">
        <f t="shared" ca="1" si="77"/>
        <v>#VALUE!</v>
      </c>
      <c r="AB214" s="185" t="e">
        <f t="shared" ca="1" si="77"/>
        <v>#VALUE!</v>
      </c>
      <c r="AC214" s="185" t="e">
        <f t="shared" ca="1" si="77"/>
        <v>#VALUE!</v>
      </c>
      <c r="AD214" s="185" t="e">
        <f t="shared" ca="1" si="77"/>
        <v>#VALUE!</v>
      </c>
      <c r="AE214" s="185" t="e">
        <f t="shared" ca="1" si="77"/>
        <v>#VALUE!</v>
      </c>
      <c r="AF214" s="185" t="e">
        <f t="shared" ca="1" si="77"/>
        <v>#VALUE!</v>
      </c>
      <c r="AG214" s="185" t="e">
        <f t="shared" ca="1" si="77"/>
        <v>#VALUE!</v>
      </c>
      <c r="AH214" s="185" t="e">
        <f t="shared" ca="1" si="77"/>
        <v>#VALUE!</v>
      </c>
      <c r="AI214" s="185" t="e">
        <f t="shared" ca="1" si="77"/>
        <v>#VALUE!</v>
      </c>
      <c r="AJ214" s="185" t="e">
        <f t="shared" ca="1" si="77"/>
        <v>#VALUE!</v>
      </c>
      <c r="AK214" s="185" t="e">
        <f t="shared" ca="1" si="77"/>
        <v>#VALUE!</v>
      </c>
      <c r="AL214" s="185" t="e">
        <f t="shared" ca="1" si="77"/>
        <v>#VALUE!</v>
      </c>
      <c r="AM214" s="185" t="e">
        <f t="shared" ca="1" si="77"/>
        <v>#VALUE!</v>
      </c>
      <c r="AN214" s="185" t="e">
        <f t="shared" ca="1" si="77"/>
        <v>#VALUE!</v>
      </c>
      <c r="AO214" s="185" t="e">
        <f t="shared" ca="1" si="77"/>
        <v>#VALUE!</v>
      </c>
      <c r="AP214" s="185" t="e">
        <f t="shared" ca="1" si="77"/>
        <v>#VALUE!</v>
      </c>
    </row>
    <row r="215" spans="1:42">
      <c r="A215" s="57" t="str">
        <f>'[4]TS BYDem'!A154</f>
        <v>*</v>
      </c>
      <c r="B215" s="185" t="s">
        <v>288</v>
      </c>
      <c r="C215" s="185" t="s">
        <v>137</v>
      </c>
      <c r="D215" s="185" t="str">
        <f>'[4]TS BYDem'!D154</f>
        <v>IPPL</v>
      </c>
      <c r="E215" s="185" t="s">
        <v>137</v>
      </c>
      <c r="F215" s="185" t="s">
        <v>137</v>
      </c>
      <c r="G215" s="185" t="s">
        <v>137</v>
      </c>
      <c r="H215" s="185" t="s">
        <v>137</v>
      </c>
      <c r="I215" s="185">
        <v>0</v>
      </c>
      <c r="J215" s="185" t="str">
        <f>INDEX('[4]TS BYDem'!$J$10:$J$203,MATCH(D215,'[4]TS BYDem'!$D$10:$D$203,0))</f>
        <v/>
      </c>
      <c r="K215" s="185" t="e">
        <f t="shared" ca="1" si="76"/>
        <v>#VALUE!</v>
      </c>
      <c r="L215" s="185" t="e">
        <f t="shared" ca="1" si="76"/>
        <v>#VALUE!</v>
      </c>
      <c r="M215" s="185" t="e">
        <f t="shared" ca="1" si="76"/>
        <v>#VALUE!</v>
      </c>
      <c r="N215" s="185" t="e">
        <f t="shared" ca="1" si="76"/>
        <v>#VALUE!</v>
      </c>
      <c r="O215" s="185" t="e">
        <f t="shared" ca="1" si="76"/>
        <v>#VALUE!</v>
      </c>
      <c r="P215" s="185" t="e">
        <f t="shared" ca="1" si="76"/>
        <v>#VALUE!</v>
      </c>
      <c r="Q215" s="185" t="e">
        <f t="shared" ca="1" si="76"/>
        <v>#VALUE!</v>
      </c>
      <c r="R215" s="185" t="e">
        <f t="shared" ca="1" si="76"/>
        <v>#VALUE!</v>
      </c>
      <c r="S215" s="185" t="e">
        <f t="shared" ca="1" si="76"/>
        <v>#VALUE!</v>
      </c>
      <c r="T215" s="185" t="e">
        <f t="shared" ca="1" si="76"/>
        <v>#VALUE!</v>
      </c>
      <c r="U215" s="185" t="e">
        <f t="shared" ca="1" si="76"/>
        <v>#VALUE!</v>
      </c>
      <c r="V215" s="185" t="e">
        <f t="shared" ca="1" si="76"/>
        <v>#VALUE!</v>
      </c>
      <c r="W215" s="185" t="e">
        <f t="shared" ca="1" si="76"/>
        <v>#VALUE!</v>
      </c>
      <c r="X215" s="185" t="e">
        <f t="shared" ca="1" si="76"/>
        <v>#VALUE!</v>
      </c>
      <c r="Y215" s="185" t="e">
        <f t="shared" ca="1" si="76"/>
        <v>#VALUE!</v>
      </c>
      <c r="Z215" s="185" t="e">
        <f t="shared" ca="1" si="76"/>
        <v>#VALUE!</v>
      </c>
      <c r="AA215" s="185" t="e">
        <f t="shared" ca="1" si="77"/>
        <v>#VALUE!</v>
      </c>
      <c r="AB215" s="185" t="e">
        <f t="shared" ca="1" si="77"/>
        <v>#VALUE!</v>
      </c>
      <c r="AC215" s="185" t="e">
        <f t="shared" ca="1" si="77"/>
        <v>#VALUE!</v>
      </c>
      <c r="AD215" s="185" t="e">
        <f t="shared" ca="1" si="77"/>
        <v>#VALUE!</v>
      </c>
      <c r="AE215" s="185" t="e">
        <f t="shared" ca="1" si="77"/>
        <v>#VALUE!</v>
      </c>
      <c r="AF215" s="185" t="e">
        <f t="shared" ca="1" si="77"/>
        <v>#VALUE!</v>
      </c>
      <c r="AG215" s="185" t="e">
        <f t="shared" ca="1" si="77"/>
        <v>#VALUE!</v>
      </c>
      <c r="AH215" s="185" t="e">
        <f t="shared" ca="1" si="77"/>
        <v>#VALUE!</v>
      </c>
      <c r="AI215" s="185" t="e">
        <f t="shared" ca="1" si="77"/>
        <v>#VALUE!</v>
      </c>
      <c r="AJ215" s="185" t="e">
        <f t="shared" ca="1" si="77"/>
        <v>#VALUE!</v>
      </c>
      <c r="AK215" s="185" t="e">
        <f t="shared" ca="1" si="77"/>
        <v>#VALUE!</v>
      </c>
      <c r="AL215" s="185" t="e">
        <f t="shared" ca="1" si="77"/>
        <v>#VALUE!</v>
      </c>
      <c r="AM215" s="185" t="e">
        <f t="shared" ca="1" si="77"/>
        <v>#VALUE!</v>
      </c>
      <c r="AN215" s="185" t="e">
        <f t="shared" ca="1" si="77"/>
        <v>#VALUE!</v>
      </c>
      <c r="AO215" s="185" t="e">
        <f t="shared" ca="1" si="77"/>
        <v>#VALUE!</v>
      </c>
      <c r="AP215" s="185" t="e">
        <f t="shared" ca="1" si="77"/>
        <v>#VALUE!</v>
      </c>
    </row>
    <row r="216" spans="1:42">
      <c r="A216" s="57" t="str">
        <f>'[4]TS BYDem'!A155</f>
        <v>*</v>
      </c>
      <c r="B216" s="185" t="s">
        <v>288</v>
      </c>
      <c r="C216" s="185" t="s">
        <v>137</v>
      </c>
      <c r="D216" s="185" t="str">
        <f>'[4]TS BYDem'!D155</f>
        <v>IPPC</v>
      </c>
      <c r="E216" s="185" t="s">
        <v>137</v>
      </c>
      <c r="F216" s="185" t="s">
        <v>137</v>
      </c>
      <c r="G216" s="185" t="s">
        <v>137</v>
      </c>
      <c r="H216" s="185" t="s">
        <v>137</v>
      </c>
      <c r="I216" s="185">
        <v>0</v>
      </c>
      <c r="J216" s="185" t="str">
        <f>INDEX('[4]TS BYDem'!$J$10:$J$203,MATCH(D216,'[4]TS BYDem'!$D$10:$D$203,0))</f>
        <v/>
      </c>
      <c r="K216" s="185" t="e">
        <f t="shared" ca="1" si="76"/>
        <v>#VALUE!</v>
      </c>
      <c r="L216" s="185" t="e">
        <f t="shared" ca="1" si="76"/>
        <v>#VALUE!</v>
      </c>
      <c r="M216" s="185" t="e">
        <f t="shared" ca="1" si="76"/>
        <v>#VALUE!</v>
      </c>
      <c r="N216" s="185" t="e">
        <f t="shared" ca="1" si="76"/>
        <v>#VALUE!</v>
      </c>
      <c r="O216" s="185" t="e">
        <f t="shared" ca="1" si="76"/>
        <v>#VALUE!</v>
      </c>
      <c r="P216" s="185" t="e">
        <f t="shared" ca="1" si="76"/>
        <v>#VALUE!</v>
      </c>
      <c r="Q216" s="185" t="e">
        <f t="shared" ca="1" si="76"/>
        <v>#VALUE!</v>
      </c>
      <c r="R216" s="185" t="e">
        <f t="shared" ca="1" si="76"/>
        <v>#VALUE!</v>
      </c>
      <c r="S216" s="185" t="e">
        <f t="shared" ca="1" si="76"/>
        <v>#VALUE!</v>
      </c>
      <c r="T216" s="185" t="e">
        <f t="shared" ca="1" si="76"/>
        <v>#VALUE!</v>
      </c>
      <c r="U216" s="185" t="e">
        <f t="shared" ca="1" si="76"/>
        <v>#VALUE!</v>
      </c>
      <c r="V216" s="185" t="e">
        <f t="shared" ca="1" si="76"/>
        <v>#VALUE!</v>
      </c>
      <c r="W216" s="185" t="e">
        <f t="shared" ca="1" si="76"/>
        <v>#VALUE!</v>
      </c>
      <c r="X216" s="185" t="e">
        <f t="shared" ca="1" si="76"/>
        <v>#VALUE!</v>
      </c>
      <c r="Y216" s="185" t="e">
        <f t="shared" ca="1" si="76"/>
        <v>#VALUE!</v>
      </c>
      <c r="Z216" s="185" t="e">
        <f t="shared" ca="1" si="76"/>
        <v>#VALUE!</v>
      </c>
      <c r="AA216" s="185" t="e">
        <f t="shared" ca="1" si="77"/>
        <v>#VALUE!</v>
      </c>
      <c r="AB216" s="185" t="e">
        <f t="shared" ca="1" si="77"/>
        <v>#VALUE!</v>
      </c>
      <c r="AC216" s="185" t="e">
        <f t="shared" ca="1" si="77"/>
        <v>#VALUE!</v>
      </c>
      <c r="AD216" s="185" t="e">
        <f t="shared" ca="1" si="77"/>
        <v>#VALUE!</v>
      </c>
      <c r="AE216" s="185" t="e">
        <f t="shared" ca="1" si="77"/>
        <v>#VALUE!</v>
      </c>
      <c r="AF216" s="185" t="e">
        <f t="shared" ca="1" si="77"/>
        <v>#VALUE!</v>
      </c>
      <c r="AG216" s="185" t="e">
        <f t="shared" ca="1" si="77"/>
        <v>#VALUE!</v>
      </c>
      <c r="AH216" s="185" t="e">
        <f t="shared" ca="1" si="77"/>
        <v>#VALUE!</v>
      </c>
      <c r="AI216" s="185" t="e">
        <f t="shared" ca="1" si="77"/>
        <v>#VALUE!</v>
      </c>
      <c r="AJ216" s="185" t="e">
        <f t="shared" ca="1" si="77"/>
        <v>#VALUE!</v>
      </c>
      <c r="AK216" s="185" t="e">
        <f t="shared" ca="1" si="77"/>
        <v>#VALUE!</v>
      </c>
      <c r="AL216" s="185" t="e">
        <f t="shared" ca="1" si="77"/>
        <v>#VALUE!</v>
      </c>
      <c r="AM216" s="185" t="e">
        <f t="shared" ca="1" si="77"/>
        <v>#VALUE!</v>
      </c>
      <c r="AN216" s="185" t="e">
        <f t="shared" ca="1" si="77"/>
        <v>#VALUE!</v>
      </c>
      <c r="AO216" s="185" t="e">
        <f t="shared" ca="1" si="77"/>
        <v>#VALUE!</v>
      </c>
      <c r="AP216" s="185" t="e">
        <f t="shared" ca="1" si="77"/>
        <v>#VALUE!</v>
      </c>
    </row>
    <row r="217" spans="1:42">
      <c r="A217" s="57" t="str">
        <f>'[4]TS BYDem'!A156</f>
        <v>*</v>
      </c>
      <c r="B217" s="185" t="s">
        <v>288</v>
      </c>
      <c r="C217" s="185" t="s">
        <v>137</v>
      </c>
      <c r="D217" s="185" t="str">
        <f>'[4]TS BYDem'!D156</f>
        <v>IPPH</v>
      </c>
      <c r="E217" s="185" t="s">
        <v>137</v>
      </c>
      <c r="F217" s="185" t="s">
        <v>137</v>
      </c>
      <c r="G217" s="185" t="s">
        <v>137</v>
      </c>
      <c r="H217" s="185" t="s">
        <v>137</v>
      </c>
      <c r="I217" s="185">
        <v>0</v>
      </c>
      <c r="J217" s="185" t="str">
        <f>INDEX('[4]TS BYDem'!$J$10:$J$203,MATCH(D217,'[4]TS BYDem'!$D$10:$D$203,0))</f>
        <v/>
      </c>
      <c r="K217" s="185" t="e">
        <f t="shared" ca="1" si="76"/>
        <v>#VALUE!</v>
      </c>
      <c r="L217" s="185" t="e">
        <f t="shared" ca="1" si="76"/>
        <v>#VALUE!</v>
      </c>
      <c r="M217" s="185" t="e">
        <f t="shared" ca="1" si="76"/>
        <v>#VALUE!</v>
      </c>
      <c r="N217" s="185" t="e">
        <f t="shared" ca="1" si="76"/>
        <v>#VALUE!</v>
      </c>
      <c r="O217" s="185" t="e">
        <f t="shared" ca="1" si="76"/>
        <v>#VALUE!</v>
      </c>
      <c r="P217" s="185" t="e">
        <f t="shared" ca="1" si="76"/>
        <v>#VALUE!</v>
      </c>
      <c r="Q217" s="185" t="e">
        <f t="shared" ca="1" si="76"/>
        <v>#VALUE!</v>
      </c>
      <c r="R217" s="185" t="e">
        <f t="shared" ca="1" si="76"/>
        <v>#VALUE!</v>
      </c>
      <c r="S217" s="185" t="e">
        <f t="shared" ca="1" si="76"/>
        <v>#VALUE!</v>
      </c>
      <c r="T217" s="185" t="e">
        <f t="shared" ca="1" si="76"/>
        <v>#VALUE!</v>
      </c>
      <c r="U217" s="185" t="e">
        <f t="shared" ca="1" si="76"/>
        <v>#VALUE!</v>
      </c>
      <c r="V217" s="185" t="e">
        <f t="shared" ca="1" si="76"/>
        <v>#VALUE!</v>
      </c>
      <c r="W217" s="185" t="e">
        <f t="shared" ca="1" si="76"/>
        <v>#VALUE!</v>
      </c>
      <c r="X217" s="185" t="e">
        <f t="shared" ca="1" si="76"/>
        <v>#VALUE!</v>
      </c>
      <c r="Y217" s="185" t="e">
        <f t="shared" ca="1" si="76"/>
        <v>#VALUE!</v>
      </c>
      <c r="Z217" s="185" t="e">
        <f t="shared" ca="1" si="76"/>
        <v>#VALUE!</v>
      </c>
      <c r="AA217" s="185" t="e">
        <f t="shared" ca="1" si="77"/>
        <v>#VALUE!</v>
      </c>
      <c r="AB217" s="185" t="e">
        <f t="shared" ca="1" si="77"/>
        <v>#VALUE!</v>
      </c>
      <c r="AC217" s="185" t="e">
        <f t="shared" ca="1" si="77"/>
        <v>#VALUE!</v>
      </c>
      <c r="AD217" s="185" t="e">
        <f t="shared" ca="1" si="77"/>
        <v>#VALUE!</v>
      </c>
      <c r="AE217" s="185" t="e">
        <f t="shared" ca="1" si="77"/>
        <v>#VALUE!</v>
      </c>
      <c r="AF217" s="185" t="e">
        <f t="shared" ca="1" si="77"/>
        <v>#VALUE!</v>
      </c>
      <c r="AG217" s="185" t="e">
        <f t="shared" ca="1" si="77"/>
        <v>#VALUE!</v>
      </c>
      <c r="AH217" s="185" t="e">
        <f t="shared" ca="1" si="77"/>
        <v>#VALUE!</v>
      </c>
      <c r="AI217" s="185" t="e">
        <f t="shared" ca="1" si="77"/>
        <v>#VALUE!</v>
      </c>
      <c r="AJ217" s="185" t="e">
        <f t="shared" ca="1" si="77"/>
        <v>#VALUE!</v>
      </c>
      <c r="AK217" s="185" t="e">
        <f t="shared" ca="1" si="77"/>
        <v>#VALUE!</v>
      </c>
      <c r="AL217" s="185" t="e">
        <f t="shared" ca="1" si="77"/>
        <v>#VALUE!</v>
      </c>
      <c r="AM217" s="185" t="e">
        <f t="shared" ca="1" si="77"/>
        <v>#VALUE!</v>
      </c>
      <c r="AN217" s="185" t="e">
        <f t="shared" ca="1" si="77"/>
        <v>#VALUE!</v>
      </c>
      <c r="AO217" s="185" t="e">
        <f t="shared" ca="1" si="77"/>
        <v>#VALUE!</v>
      </c>
      <c r="AP217" s="185" t="e">
        <f t="shared" ca="1" si="77"/>
        <v>#VALUE!</v>
      </c>
    </row>
    <row r="218" spans="1:42">
      <c r="A218" s="57" t="str">
        <f>'[4]TS BYDem'!A157</f>
        <v>*</v>
      </c>
      <c r="B218" s="185" t="s">
        <v>288</v>
      </c>
      <c r="C218" s="185" t="s">
        <v>137</v>
      </c>
      <c r="D218" s="185" t="str">
        <f>'[4]TS BYDem'!D157</f>
        <v>IPPP</v>
      </c>
      <c r="E218" s="185" t="s">
        <v>137</v>
      </c>
      <c r="F218" s="185" t="s">
        <v>137</v>
      </c>
      <c r="G218" s="185" t="s">
        <v>137</v>
      </c>
      <c r="H218" s="185" t="s">
        <v>137</v>
      </c>
      <c r="I218" s="185">
        <v>0</v>
      </c>
      <c r="J218" s="185" t="str">
        <f>INDEX('[4]TS BYDem'!$J$10:$J$203,MATCH(D218,'[4]TS BYDem'!$D$10:$D$203,0))</f>
        <v/>
      </c>
      <c r="K218" s="185" t="e">
        <f t="shared" ca="1" si="76"/>
        <v>#VALUE!</v>
      </c>
      <c r="L218" s="185" t="e">
        <f t="shared" ca="1" si="76"/>
        <v>#VALUE!</v>
      </c>
      <c r="M218" s="185" t="e">
        <f t="shared" ca="1" si="76"/>
        <v>#VALUE!</v>
      </c>
      <c r="N218" s="185" t="e">
        <f t="shared" ca="1" si="76"/>
        <v>#VALUE!</v>
      </c>
      <c r="O218" s="185" t="e">
        <f t="shared" ca="1" si="76"/>
        <v>#VALUE!</v>
      </c>
      <c r="P218" s="185" t="e">
        <f t="shared" ca="1" si="76"/>
        <v>#VALUE!</v>
      </c>
      <c r="Q218" s="185" t="e">
        <f t="shared" ca="1" si="76"/>
        <v>#VALUE!</v>
      </c>
      <c r="R218" s="185" t="e">
        <f t="shared" ca="1" si="76"/>
        <v>#VALUE!</v>
      </c>
      <c r="S218" s="185" t="e">
        <f t="shared" ca="1" si="76"/>
        <v>#VALUE!</v>
      </c>
      <c r="T218" s="185" t="e">
        <f t="shared" ca="1" si="76"/>
        <v>#VALUE!</v>
      </c>
      <c r="U218" s="185" t="e">
        <f t="shared" ca="1" si="76"/>
        <v>#VALUE!</v>
      </c>
      <c r="V218" s="185" t="e">
        <f t="shared" ca="1" si="76"/>
        <v>#VALUE!</v>
      </c>
      <c r="W218" s="185" t="e">
        <f t="shared" ca="1" si="76"/>
        <v>#VALUE!</v>
      </c>
      <c r="X218" s="185" t="e">
        <f t="shared" ca="1" si="76"/>
        <v>#VALUE!</v>
      </c>
      <c r="Y218" s="185" t="e">
        <f t="shared" ca="1" si="76"/>
        <v>#VALUE!</v>
      </c>
      <c r="Z218" s="185" t="e">
        <f t="shared" ca="1" si="76"/>
        <v>#VALUE!</v>
      </c>
      <c r="AA218" s="185" t="e">
        <f t="shared" ca="1" si="77"/>
        <v>#VALUE!</v>
      </c>
      <c r="AB218" s="185" t="e">
        <f t="shared" ca="1" si="77"/>
        <v>#VALUE!</v>
      </c>
      <c r="AC218" s="185" t="e">
        <f t="shared" ca="1" si="77"/>
        <v>#VALUE!</v>
      </c>
      <c r="AD218" s="185" t="e">
        <f t="shared" ca="1" si="77"/>
        <v>#VALUE!</v>
      </c>
      <c r="AE218" s="185" t="e">
        <f t="shared" ca="1" si="77"/>
        <v>#VALUE!</v>
      </c>
      <c r="AF218" s="185" t="e">
        <f t="shared" ca="1" si="77"/>
        <v>#VALUE!</v>
      </c>
      <c r="AG218" s="185" t="e">
        <f t="shared" ca="1" si="77"/>
        <v>#VALUE!</v>
      </c>
      <c r="AH218" s="185" t="e">
        <f t="shared" ca="1" si="77"/>
        <v>#VALUE!</v>
      </c>
      <c r="AI218" s="185" t="e">
        <f t="shared" ca="1" si="77"/>
        <v>#VALUE!</v>
      </c>
      <c r="AJ218" s="185" t="e">
        <f t="shared" ca="1" si="77"/>
        <v>#VALUE!</v>
      </c>
      <c r="AK218" s="185" t="e">
        <f t="shared" ca="1" si="77"/>
        <v>#VALUE!</v>
      </c>
      <c r="AL218" s="185" t="e">
        <f t="shared" ca="1" si="77"/>
        <v>#VALUE!</v>
      </c>
      <c r="AM218" s="185" t="e">
        <f t="shared" ca="1" si="77"/>
        <v>#VALUE!</v>
      </c>
      <c r="AN218" s="185" t="e">
        <f t="shared" ca="1" si="77"/>
        <v>#VALUE!</v>
      </c>
      <c r="AO218" s="185" t="e">
        <f t="shared" ca="1" si="77"/>
        <v>#VALUE!</v>
      </c>
      <c r="AP218" s="185" t="e">
        <f t="shared" ca="1" si="77"/>
        <v>#VALUE!</v>
      </c>
    </row>
    <row r="219" spans="1:42">
      <c r="A219" s="57" t="str">
        <f>'[4]TS BYDem'!A158</f>
        <v>*</v>
      </c>
      <c r="B219" s="185" t="s">
        <v>288</v>
      </c>
      <c r="C219" s="185" t="s">
        <v>137</v>
      </c>
      <c r="D219" s="185" t="str">
        <f>'[4]TS BYDem'!D158</f>
        <v>IPPF</v>
      </c>
      <c r="E219" s="185" t="s">
        <v>137</v>
      </c>
      <c r="F219" s="185" t="s">
        <v>137</v>
      </c>
      <c r="G219" s="185" t="s">
        <v>137</v>
      </c>
      <c r="H219" s="185" t="s">
        <v>137</v>
      </c>
      <c r="I219" s="185">
        <v>0</v>
      </c>
      <c r="J219" s="185" t="str">
        <f>INDEX('[4]TS BYDem'!$J$10:$J$203,MATCH(D219,'[4]TS BYDem'!$D$10:$D$203,0))</f>
        <v/>
      </c>
      <c r="K219" s="185" t="e">
        <f t="shared" ca="1" si="76"/>
        <v>#VALUE!</v>
      </c>
      <c r="L219" s="185" t="e">
        <f t="shared" ca="1" si="76"/>
        <v>#VALUE!</v>
      </c>
      <c r="M219" s="185" t="e">
        <f t="shared" ca="1" si="76"/>
        <v>#VALUE!</v>
      </c>
      <c r="N219" s="185" t="e">
        <f t="shared" ca="1" si="76"/>
        <v>#VALUE!</v>
      </c>
      <c r="O219" s="185" t="e">
        <f t="shared" ca="1" si="76"/>
        <v>#VALUE!</v>
      </c>
      <c r="P219" s="185" t="e">
        <f t="shared" ca="1" si="76"/>
        <v>#VALUE!</v>
      </c>
      <c r="Q219" s="185" t="e">
        <f t="shared" ca="1" si="76"/>
        <v>#VALUE!</v>
      </c>
      <c r="R219" s="185" t="e">
        <f t="shared" ca="1" si="76"/>
        <v>#VALUE!</v>
      </c>
      <c r="S219" s="185" t="e">
        <f t="shared" ca="1" si="76"/>
        <v>#VALUE!</v>
      </c>
      <c r="T219" s="185" t="e">
        <f t="shared" ca="1" si="76"/>
        <v>#VALUE!</v>
      </c>
      <c r="U219" s="185" t="e">
        <f t="shared" ca="1" si="76"/>
        <v>#VALUE!</v>
      </c>
      <c r="V219" s="185" t="e">
        <f t="shared" ca="1" si="76"/>
        <v>#VALUE!</v>
      </c>
      <c r="W219" s="185" t="e">
        <f t="shared" ca="1" si="76"/>
        <v>#VALUE!</v>
      </c>
      <c r="X219" s="185" t="e">
        <f t="shared" ca="1" si="76"/>
        <v>#VALUE!</v>
      </c>
      <c r="Y219" s="185" t="e">
        <f t="shared" ca="1" si="76"/>
        <v>#VALUE!</v>
      </c>
      <c r="Z219" s="185" t="e">
        <f t="shared" ca="1" si="76"/>
        <v>#VALUE!</v>
      </c>
      <c r="AA219" s="185" t="e">
        <f t="shared" ca="1" si="77"/>
        <v>#VALUE!</v>
      </c>
      <c r="AB219" s="185" t="e">
        <f t="shared" ca="1" si="77"/>
        <v>#VALUE!</v>
      </c>
      <c r="AC219" s="185" t="e">
        <f t="shared" ca="1" si="77"/>
        <v>#VALUE!</v>
      </c>
      <c r="AD219" s="185" t="e">
        <f t="shared" ca="1" si="77"/>
        <v>#VALUE!</v>
      </c>
      <c r="AE219" s="185" t="e">
        <f t="shared" ca="1" si="77"/>
        <v>#VALUE!</v>
      </c>
      <c r="AF219" s="185" t="e">
        <f t="shared" ca="1" si="77"/>
        <v>#VALUE!</v>
      </c>
      <c r="AG219" s="185" t="e">
        <f t="shared" ca="1" si="77"/>
        <v>#VALUE!</v>
      </c>
      <c r="AH219" s="185" t="e">
        <f t="shared" ca="1" si="77"/>
        <v>#VALUE!</v>
      </c>
      <c r="AI219" s="185" t="e">
        <f t="shared" ca="1" si="77"/>
        <v>#VALUE!</v>
      </c>
      <c r="AJ219" s="185" t="e">
        <f t="shared" ca="1" si="77"/>
        <v>#VALUE!</v>
      </c>
      <c r="AK219" s="185" t="e">
        <f t="shared" ca="1" si="77"/>
        <v>#VALUE!</v>
      </c>
      <c r="AL219" s="185" t="e">
        <f t="shared" ca="1" si="77"/>
        <v>#VALUE!</v>
      </c>
      <c r="AM219" s="185" t="e">
        <f t="shared" ca="1" si="77"/>
        <v>#VALUE!</v>
      </c>
      <c r="AN219" s="185" t="e">
        <f t="shared" ca="1" si="77"/>
        <v>#VALUE!</v>
      </c>
      <c r="AO219" s="185" t="e">
        <f t="shared" ca="1" si="77"/>
        <v>#VALUE!</v>
      </c>
      <c r="AP219" s="185" t="e">
        <f t="shared" ca="1" si="77"/>
        <v>#VALUE!</v>
      </c>
    </row>
    <row r="220" spans="1:42">
      <c r="A220" s="57" t="str">
        <f>'[4]TS BYDem'!A159</f>
        <v>*</v>
      </c>
      <c r="B220" s="185" t="s">
        <v>288</v>
      </c>
      <c r="C220" s="185" t="s">
        <v>137</v>
      </c>
      <c r="D220" s="185" t="str">
        <f>'[4]TS BYDem'!D159</f>
        <v>IPPO</v>
      </c>
      <c r="E220" s="185" t="s">
        <v>137</v>
      </c>
      <c r="F220" s="185" t="s">
        <v>137</v>
      </c>
      <c r="G220" s="185" t="s">
        <v>137</v>
      </c>
      <c r="H220" s="185" t="s">
        <v>137</v>
      </c>
      <c r="I220" s="185">
        <v>0</v>
      </c>
      <c r="J220" s="185" t="str">
        <f>INDEX('[4]TS BYDem'!$J$10:$J$203,MATCH(D220,'[4]TS BYDem'!$D$10:$D$203,0))</f>
        <v/>
      </c>
      <c r="K220" s="185" t="e">
        <f t="shared" ca="1" si="76"/>
        <v>#VALUE!</v>
      </c>
      <c r="L220" s="185" t="e">
        <f t="shared" ca="1" si="76"/>
        <v>#VALUE!</v>
      </c>
      <c r="M220" s="185" t="e">
        <f t="shared" ca="1" si="76"/>
        <v>#VALUE!</v>
      </c>
      <c r="N220" s="185" t="e">
        <f t="shared" ca="1" si="76"/>
        <v>#VALUE!</v>
      </c>
      <c r="O220" s="185" t="e">
        <f t="shared" ca="1" si="76"/>
        <v>#VALUE!</v>
      </c>
      <c r="P220" s="185" t="e">
        <f t="shared" ca="1" si="76"/>
        <v>#VALUE!</v>
      </c>
      <c r="Q220" s="185" t="e">
        <f t="shared" ca="1" si="76"/>
        <v>#VALUE!</v>
      </c>
      <c r="R220" s="185" t="e">
        <f t="shared" ca="1" si="76"/>
        <v>#VALUE!</v>
      </c>
      <c r="S220" s="185" t="e">
        <f t="shared" ca="1" si="76"/>
        <v>#VALUE!</v>
      </c>
      <c r="T220" s="185" t="e">
        <f t="shared" ca="1" si="76"/>
        <v>#VALUE!</v>
      </c>
      <c r="U220" s="185" t="e">
        <f t="shared" ca="1" si="76"/>
        <v>#VALUE!</v>
      </c>
      <c r="V220" s="185" t="e">
        <f t="shared" ca="1" si="76"/>
        <v>#VALUE!</v>
      </c>
      <c r="W220" s="185" t="e">
        <f t="shared" ca="1" si="76"/>
        <v>#VALUE!</v>
      </c>
      <c r="X220" s="185" t="e">
        <f t="shared" ca="1" si="76"/>
        <v>#VALUE!</v>
      </c>
      <c r="Y220" s="185" t="e">
        <f t="shared" ca="1" si="76"/>
        <v>#VALUE!</v>
      </c>
      <c r="Z220" s="185" t="e">
        <f t="shared" ca="1" si="76"/>
        <v>#VALUE!</v>
      </c>
      <c r="AA220" s="185" t="e">
        <f t="shared" ca="1" si="77"/>
        <v>#VALUE!</v>
      </c>
      <c r="AB220" s="185" t="e">
        <f t="shared" ca="1" si="77"/>
        <v>#VALUE!</v>
      </c>
      <c r="AC220" s="185" t="e">
        <f t="shared" ca="1" si="77"/>
        <v>#VALUE!</v>
      </c>
      <c r="AD220" s="185" t="e">
        <f t="shared" ca="1" si="77"/>
        <v>#VALUE!</v>
      </c>
      <c r="AE220" s="185" t="e">
        <f t="shared" ca="1" si="77"/>
        <v>#VALUE!</v>
      </c>
      <c r="AF220" s="185" t="e">
        <f t="shared" ca="1" si="77"/>
        <v>#VALUE!</v>
      </c>
      <c r="AG220" s="185" t="e">
        <f t="shared" ca="1" si="77"/>
        <v>#VALUE!</v>
      </c>
      <c r="AH220" s="185" t="e">
        <f t="shared" ca="1" si="77"/>
        <v>#VALUE!</v>
      </c>
      <c r="AI220" s="185" t="e">
        <f t="shared" ca="1" si="77"/>
        <v>#VALUE!</v>
      </c>
      <c r="AJ220" s="185" t="e">
        <f t="shared" ca="1" si="77"/>
        <v>#VALUE!</v>
      </c>
      <c r="AK220" s="185" t="e">
        <f t="shared" ca="1" si="77"/>
        <v>#VALUE!</v>
      </c>
      <c r="AL220" s="185" t="e">
        <f t="shared" ca="1" si="77"/>
        <v>#VALUE!</v>
      </c>
      <c r="AM220" s="185" t="e">
        <f t="shared" ca="1" si="77"/>
        <v>#VALUE!</v>
      </c>
      <c r="AN220" s="185" t="e">
        <f t="shared" ca="1" si="77"/>
        <v>#VALUE!</v>
      </c>
      <c r="AO220" s="185" t="e">
        <f t="shared" ca="1" si="77"/>
        <v>#VALUE!</v>
      </c>
      <c r="AP220" s="185" t="e">
        <f t="shared" ca="1" si="77"/>
        <v>#VALUE!</v>
      </c>
    </row>
    <row r="221" spans="1:42">
      <c r="A221" s="57" t="str">
        <f>'[4]TS BYDem'!A160</f>
        <v>*</v>
      </c>
      <c r="B221" s="185" t="s">
        <v>288</v>
      </c>
      <c r="C221" s="185" t="s">
        <v>137</v>
      </c>
      <c r="D221" s="185" t="str">
        <f>'[4]TS BYDem'!D160</f>
        <v>IPPE</v>
      </c>
      <c r="E221" s="185" t="s">
        <v>137</v>
      </c>
      <c r="F221" s="185" t="s">
        <v>137</v>
      </c>
      <c r="G221" s="185" t="s">
        <v>137</v>
      </c>
      <c r="H221" s="185" t="s">
        <v>137</v>
      </c>
      <c r="I221" s="185">
        <v>0</v>
      </c>
      <c r="J221" s="185" t="str">
        <f>INDEX('[4]TS BYDem'!$J$10:$J$203,MATCH(D221,'[4]TS BYDem'!$D$10:$D$203,0))</f>
        <v/>
      </c>
      <c r="K221" s="185" t="e">
        <f t="shared" ca="1" si="76"/>
        <v>#VALUE!</v>
      </c>
      <c r="L221" s="185" t="e">
        <f t="shared" ca="1" si="76"/>
        <v>#VALUE!</v>
      </c>
      <c r="M221" s="185" t="e">
        <f t="shared" ca="1" si="76"/>
        <v>#VALUE!</v>
      </c>
      <c r="N221" s="185" t="e">
        <f t="shared" ca="1" si="76"/>
        <v>#VALUE!</v>
      </c>
      <c r="O221" s="185" t="e">
        <f t="shared" ca="1" si="76"/>
        <v>#VALUE!</v>
      </c>
      <c r="P221" s="185" t="e">
        <f t="shared" ca="1" si="76"/>
        <v>#VALUE!</v>
      </c>
      <c r="Q221" s="185" t="e">
        <f t="shared" ca="1" si="76"/>
        <v>#VALUE!</v>
      </c>
      <c r="R221" s="185" t="e">
        <f t="shared" ca="1" si="76"/>
        <v>#VALUE!</v>
      </c>
      <c r="S221" s="185" t="e">
        <f t="shared" ca="1" si="76"/>
        <v>#VALUE!</v>
      </c>
      <c r="T221" s="185" t="e">
        <f t="shared" ca="1" si="76"/>
        <v>#VALUE!</v>
      </c>
      <c r="U221" s="185" t="e">
        <f t="shared" ca="1" si="76"/>
        <v>#VALUE!</v>
      </c>
      <c r="V221" s="185" t="e">
        <f t="shared" ca="1" si="76"/>
        <v>#VALUE!</v>
      </c>
      <c r="W221" s="185" t="e">
        <f t="shared" ca="1" si="76"/>
        <v>#VALUE!</v>
      </c>
      <c r="X221" s="185" t="e">
        <f t="shared" ca="1" si="76"/>
        <v>#VALUE!</v>
      </c>
      <c r="Y221" s="185" t="e">
        <f t="shared" ca="1" si="76"/>
        <v>#VALUE!</v>
      </c>
      <c r="Z221" s="185" t="e">
        <f t="shared" ca="1" si="76"/>
        <v>#VALUE!</v>
      </c>
      <c r="AA221" s="185" t="e">
        <f t="shared" ca="1" si="77"/>
        <v>#VALUE!</v>
      </c>
      <c r="AB221" s="185" t="e">
        <f t="shared" ca="1" si="77"/>
        <v>#VALUE!</v>
      </c>
      <c r="AC221" s="185" t="e">
        <f t="shared" ca="1" si="77"/>
        <v>#VALUE!</v>
      </c>
      <c r="AD221" s="185" t="e">
        <f t="shared" ca="1" si="77"/>
        <v>#VALUE!</v>
      </c>
      <c r="AE221" s="185" t="e">
        <f t="shared" ca="1" si="77"/>
        <v>#VALUE!</v>
      </c>
      <c r="AF221" s="185" t="e">
        <f t="shared" ca="1" si="77"/>
        <v>#VALUE!</v>
      </c>
      <c r="AG221" s="185" t="e">
        <f t="shared" ca="1" si="77"/>
        <v>#VALUE!</v>
      </c>
      <c r="AH221" s="185" t="e">
        <f t="shared" ca="1" si="77"/>
        <v>#VALUE!</v>
      </c>
      <c r="AI221" s="185" t="e">
        <f t="shared" ca="1" si="77"/>
        <v>#VALUE!</v>
      </c>
      <c r="AJ221" s="185" t="e">
        <f t="shared" ca="1" si="77"/>
        <v>#VALUE!</v>
      </c>
      <c r="AK221" s="185" t="e">
        <f t="shared" ca="1" si="77"/>
        <v>#VALUE!</v>
      </c>
      <c r="AL221" s="185" t="e">
        <f t="shared" ca="1" si="77"/>
        <v>#VALUE!</v>
      </c>
      <c r="AM221" s="185" t="e">
        <f t="shared" ca="1" si="77"/>
        <v>#VALUE!</v>
      </c>
      <c r="AN221" s="185" t="e">
        <f t="shared" ca="1" si="77"/>
        <v>#VALUE!</v>
      </c>
      <c r="AO221" s="185" t="e">
        <f t="shared" ca="1" si="77"/>
        <v>#VALUE!</v>
      </c>
      <c r="AP221" s="185" t="e">
        <f t="shared" ca="1" si="77"/>
        <v>#VALUE!</v>
      </c>
    </row>
    <row r="222" spans="1:42">
      <c r="A222" s="57" t="str">
        <f>'[4]TS BYDem'!A161</f>
        <v>*</v>
      </c>
      <c r="B222" s="185" t="s">
        <v>288</v>
      </c>
      <c r="C222" s="185" t="s">
        <v>137</v>
      </c>
      <c r="D222" s="185" t="str">
        <f>'[4]TS BYDem'!D161</f>
        <v xml:space="preserve"> </v>
      </c>
      <c r="E222" s="185" t="s">
        <v>137</v>
      </c>
      <c r="F222" s="185" t="s">
        <v>137</v>
      </c>
      <c r="G222" s="185" t="s">
        <v>137</v>
      </c>
      <c r="H222" s="185" t="s">
        <v>137</v>
      </c>
      <c r="I222" s="185">
        <v>0</v>
      </c>
      <c r="J222" s="185" t="str">
        <f>INDEX('[4]TS BYDem'!$J$10:$J$203,MATCH(D222,'[4]TS BYDem'!$D$10:$D$203,0))</f>
        <v/>
      </c>
      <c r="K222" s="185" t="e">
        <f t="shared" ca="1" si="76"/>
        <v>#VALUE!</v>
      </c>
      <c r="L222" s="185" t="e">
        <f t="shared" ca="1" si="76"/>
        <v>#VALUE!</v>
      </c>
      <c r="M222" s="185" t="e">
        <f t="shared" ca="1" si="76"/>
        <v>#VALUE!</v>
      </c>
      <c r="N222" s="185" t="e">
        <f t="shared" ca="1" si="76"/>
        <v>#VALUE!</v>
      </c>
      <c r="O222" s="185" t="e">
        <f t="shared" ca="1" si="76"/>
        <v>#VALUE!</v>
      </c>
      <c r="P222" s="185" t="e">
        <f t="shared" ca="1" si="76"/>
        <v>#VALUE!</v>
      </c>
      <c r="Q222" s="185" t="e">
        <f t="shared" ca="1" si="76"/>
        <v>#VALUE!</v>
      </c>
      <c r="R222" s="185" t="e">
        <f t="shared" ca="1" si="76"/>
        <v>#VALUE!</v>
      </c>
      <c r="S222" s="185" t="e">
        <f t="shared" ca="1" si="76"/>
        <v>#VALUE!</v>
      </c>
      <c r="T222" s="185" t="e">
        <f t="shared" ca="1" si="76"/>
        <v>#VALUE!</v>
      </c>
      <c r="U222" s="185" t="e">
        <f t="shared" ca="1" si="76"/>
        <v>#VALUE!</v>
      </c>
      <c r="V222" s="185" t="e">
        <f t="shared" ca="1" si="76"/>
        <v>#VALUE!</v>
      </c>
      <c r="W222" s="185" t="e">
        <f t="shared" ca="1" si="76"/>
        <v>#VALUE!</v>
      </c>
      <c r="X222" s="185" t="e">
        <f t="shared" ca="1" si="76"/>
        <v>#VALUE!</v>
      </c>
      <c r="Y222" s="185" t="e">
        <f t="shared" ca="1" si="76"/>
        <v>#VALUE!</v>
      </c>
      <c r="Z222" s="185" t="e">
        <f t="shared" ca="1" si="76"/>
        <v>#VALUE!</v>
      </c>
      <c r="AA222" s="185" t="e">
        <f t="shared" ca="1" si="77"/>
        <v>#VALUE!</v>
      </c>
      <c r="AB222" s="185" t="e">
        <f t="shared" ca="1" si="77"/>
        <v>#VALUE!</v>
      </c>
      <c r="AC222" s="185" t="e">
        <f t="shared" ca="1" si="77"/>
        <v>#VALUE!</v>
      </c>
      <c r="AD222" s="185" t="e">
        <f t="shared" ca="1" si="77"/>
        <v>#VALUE!</v>
      </c>
      <c r="AE222" s="185" t="e">
        <f t="shared" ca="1" si="77"/>
        <v>#VALUE!</v>
      </c>
      <c r="AF222" s="185" t="e">
        <f t="shared" ca="1" si="77"/>
        <v>#VALUE!</v>
      </c>
      <c r="AG222" s="185" t="e">
        <f t="shared" ca="1" si="77"/>
        <v>#VALUE!</v>
      </c>
      <c r="AH222" s="185" t="e">
        <f t="shared" ca="1" si="77"/>
        <v>#VALUE!</v>
      </c>
      <c r="AI222" s="185" t="e">
        <f t="shared" ca="1" si="77"/>
        <v>#VALUE!</v>
      </c>
      <c r="AJ222" s="185" t="e">
        <f t="shared" ca="1" si="77"/>
        <v>#VALUE!</v>
      </c>
      <c r="AK222" s="185" t="e">
        <f t="shared" ca="1" si="77"/>
        <v>#VALUE!</v>
      </c>
      <c r="AL222" s="185" t="e">
        <f t="shared" ca="1" si="77"/>
        <v>#VALUE!</v>
      </c>
      <c r="AM222" s="185" t="e">
        <f t="shared" ca="1" si="77"/>
        <v>#VALUE!</v>
      </c>
      <c r="AN222" s="185" t="e">
        <f t="shared" ca="1" si="77"/>
        <v>#VALUE!</v>
      </c>
      <c r="AO222" s="185" t="e">
        <f t="shared" ca="1" si="77"/>
        <v>#VALUE!</v>
      </c>
      <c r="AP222" s="185" t="e">
        <f t="shared" ca="1" si="77"/>
        <v>#VALUE!</v>
      </c>
    </row>
    <row r="223" spans="1:42">
      <c r="A223" s="57" t="str">
        <f>'[4]TS BYDem'!A162</f>
        <v>*</v>
      </c>
      <c r="B223" s="185" t="s">
        <v>288</v>
      </c>
      <c r="C223" s="185" t="s">
        <v>137</v>
      </c>
      <c r="D223" s="185" t="str">
        <f>'[4]TS BYDem'!D162</f>
        <v>IPPS</v>
      </c>
      <c r="E223" s="185" t="s">
        <v>137</v>
      </c>
      <c r="F223" s="185" t="s">
        <v>137</v>
      </c>
      <c r="G223" s="185" t="s">
        <v>137</v>
      </c>
      <c r="H223" s="185" t="s">
        <v>137</v>
      </c>
      <c r="I223" s="185">
        <v>0</v>
      </c>
      <c r="J223" s="185" t="str">
        <f>INDEX('[4]TS BYDem'!$J$10:$J$203,MATCH(D223,'[4]TS BYDem'!$D$10:$D$203,0))</f>
        <v/>
      </c>
      <c r="K223" s="185" t="e">
        <f t="shared" ca="1" si="76"/>
        <v>#VALUE!</v>
      </c>
      <c r="L223" s="185" t="e">
        <f t="shared" ca="1" si="76"/>
        <v>#VALUE!</v>
      </c>
      <c r="M223" s="185" t="e">
        <f t="shared" ca="1" si="76"/>
        <v>#VALUE!</v>
      </c>
      <c r="N223" s="185" t="e">
        <f t="shared" ca="1" si="76"/>
        <v>#VALUE!</v>
      </c>
      <c r="O223" s="185" t="e">
        <f t="shared" ca="1" si="76"/>
        <v>#VALUE!</v>
      </c>
      <c r="P223" s="185" t="e">
        <f t="shared" ca="1" si="76"/>
        <v>#VALUE!</v>
      </c>
      <c r="Q223" s="185" t="e">
        <f t="shared" ca="1" si="76"/>
        <v>#VALUE!</v>
      </c>
      <c r="R223" s="185" t="e">
        <f t="shared" ca="1" si="76"/>
        <v>#VALUE!</v>
      </c>
      <c r="S223" s="185" t="e">
        <f t="shared" ca="1" si="76"/>
        <v>#VALUE!</v>
      </c>
      <c r="T223" s="185" t="e">
        <f t="shared" ca="1" si="76"/>
        <v>#VALUE!</v>
      </c>
      <c r="U223" s="185" t="e">
        <f t="shared" ca="1" si="76"/>
        <v>#VALUE!</v>
      </c>
      <c r="V223" s="185" t="e">
        <f t="shared" ca="1" si="76"/>
        <v>#VALUE!</v>
      </c>
      <c r="W223" s="185" t="e">
        <f t="shared" ca="1" si="76"/>
        <v>#VALUE!</v>
      </c>
      <c r="X223" s="185" t="e">
        <f t="shared" ca="1" si="76"/>
        <v>#VALUE!</v>
      </c>
      <c r="Y223" s="185" t="e">
        <f t="shared" ca="1" si="76"/>
        <v>#VALUE!</v>
      </c>
      <c r="Z223" s="185" t="e">
        <f t="shared" ca="1" si="76"/>
        <v>#VALUE!</v>
      </c>
      <c r="AA223" s="185" t="e">
        <f t="shared" ca="1" si="77"/>
        <v>#VALUE!</v>
      </c>
      <c r="AB223" s="185" t="e">
        <f t="shared" ca="1" si="77"/>
        <v>#VALUE!</v>
      </c>
      <c r="AC223" s="185" t="e">
        <f t="shared" ca="1" si="77"/>
        <v>#VALUE!</v>
      </c>
      <c r="AD223" s="185" t="e">
        <f t="shared" ca="1" si="77"/>
        <v>#VALUE!</v>
      </c>
      <c r="AE223" s="185" t="e">
        <f t="shared" ca="1" si="77"/>
        <v>#VALUE!</v>
      </c>
      <c r="AF223" s="185" t="e">
        <f t="shared" ca="1" si="77"/>
        <v>#VALUE!</v>
      </c>
      <c r="AG223" s="185" t="e">
        <f t="shared" ca="1" si="77"/>
        <v>#VALUE!</v>
      </c>
      <c r="AH223" s="185" t="e">
        <f t="shared" ca="1" si="77"/>
        <v>#VALUE!</v>
      </c>
      <c r="AI223" s="185" t="e">
        <f t="shared" ca="1" si="77"/>
        <v>#VALUE!</v>
      </c>
      <c r="AJ223" s="185" t="e">
        <f t="shared" ca="1" si="77"/>
        <v>#VALUE!</v>
      </c>
      <c r="AK223" s="185" t="e">
        <f t="shared" ca="1" si="77"/>
        <v>#VALUE!</v>
      </c>
      <c r="AL223" s="185" t="e">
        <f t="shared" ca="1" si="77"/>
        <v>#VALUE!</v>
      </c>
      <c r="AM223" s="185" t="e">
        <f t="shared" ca="1" si="77"/>
        <v>#VALUE!</v>
      </c>
      <c r="AN223" s="185" t="e">
        <f t="shared" ca="1" si="77"/>
        <v>#VALUE!</v>
      </c>
      <c r="AO223" s="185" t="e">
        <f t="shared" ca="1" si="77"/>
        <v>#VALUE!</v>
      </c>
      <c r="AP223" s="185" t="e">
        <f t="shared" ca="1" si="77"/>
        <v>#VALUE!</v>
      </c>
    </row>
    <row r="224" spans="1:42">
      <c r="A224" s="57" t="str">
        <f>'[4]TS BYDem'!A163</f>
        <v>*</v>
      </c>
      <c r="B224" s="185" t="s">
        <v>288</v>
      </c>
      <c r="C224" s="185" t="s">
        <v>137</v>
      </c>
      <c r="D224" s="185" t="str">
        <f>'[4]TS BYDem'!D163</f>
        <v>IPPS</v>
      </c>
      <c r="E224" s="185" t="s">
        <v>137</v>
      </c>
      <c r="F224" s="185" t="s">
        <v>137</v>
      </c>
      <c r="G224" s="185" t="s">
        <v>137</v>
      </c>
      <c r="H224" s="185" t="s">
        <v>137</v>
      </c>
      <c r="I224" s="185">
        <v>0</v>
      </c>
      <c r="J224" s="185" t="str">
        <f>INDEX('[4]TS BYDem'!$J$10:$J$203,MATCH(D224,'[4]TS BYDem'!$D$10:$D$203,0))</f>
        <v/>
      </c>
      <c r="K224" s="185" t="e">
        <f t="shared" ca="1" si="76"/>
        <v>#VALUE!</v>
      </c>
      <c r="L224" s="185" t="e">
        <f t="shared" ca="1" si="76"/>
        <v>#VALUE!</v>
      </c>
      <c r="M224" s="185" t="e">
        <f t="shared" ca="1" si="76"/>
        <v>#VALUE!</v>
      </c>
      <c r="N224" s="185" t="e">
        <f t="shared" ca="1" si="76"/>
        <v>#VALUE!</v>
      </c>
      <c r="O224" s="185" t="e">
        <f t="shared" ca="1" si="76"/>
        <v>#VALUE!</v>
      </c>
      <c r="P224" s="185" t="e">
        <f t="shared" ca="1" si="76"/>
        <v>#VALUE!</v>
      </c>
      <c r="Q224" s="185" t="e">
        <f t="shared" ca="1" si="76"/>
        <v>#VALUE!</v>
      </c>
      <c r="R224" s="185" t="e">
        <f t="shared" ca="1" si="76"/>
        <v>#VALUE!</v>
      </c>
      <c r="S224" s="185" t="e">
        <f t="shared" ca="1" si="76"/>
        <v>#VALUE!</v>
      </c>
      <c r="T224" s="185" t="e">
        <f t="shared" ca="1" si="76"/>
        <v>#VALUE!</v>
      </c>
      <c r="U224" s="185" t="e">
        <f t="shared" ca="1" si="76"/>
        <v>#VALUE!</v>
      </c>
      <c r="V224" s="185" t="e">
        <f t="shared" ca="1" si="76"/>
        <v>#VALUE!</v>
      </c>
      <c r="W224" s="185" t="e">
        <f t="shared" ca="1" si="76"/>
        <v>#VALUE!</v>
      </c>
      <c r="X224" s="185" t="e">
        <f t="shared" ca="1" si="76"/>
        <v>#VALUE!</v>
      </c>
      <c r="Y224" s="185" t="e">
        <f t="shared" ca="1" si="76"/>
        <v>#VALUE!</v>
      </c>
      <c r="Z224" s="185" t="e">
        <f t="shared" ca="1" si="76"/>
        <v>#VALUE!</v>
      </c>
      <c r="AA224" s="185" t="e">
        <f t="shared" ca="1" si="77"/>
        <v>#VALUE!</v>
      </c>
      <c r="AB224" s="185" t="e">
        <f t="shared" ca="1" si="77"/>
        <v>#VALUE!</v>
      </c>
      <c r="AC224" s="185" t="e">
        <f t="shared" ca="1" si="77"/>
        <v>#VALUE!</v>
      </c>
      <c r="AD224" s="185" t="e">
        <f t="shared" ca="1" si="77"/>
        <v>#VALUE!</v>
      </c>
      <c r="AE224" s="185" t="e">
        <f t="shared" ca="1" si="77"/>
        <v>#VALUE!</v>
      </c>
      <c r="AF224" s="185" t="e">
        <f t="shared" ca="1" si="77"/>
        <v>#VALUE!</v>
      </c>
      <c r="AG224" s="185" t="e">
        <f t="shared" ca="1" si="77"/>
        <v>#VALUE!</v>
      </c>
      <c r="AH224" s="185" t="e">
        <f t="shared" ca="1" si="77"/>
        <v>#VALUE!</v>
      </c>
      <c r="AI224" s="185" t="e">
        <f t="shared" ca="1" si="77"/>
        <v>#VALUE!</v>
      </c>
      <c r="AJ224" s="185" t="e">
        <f t="shared" ca="1" si="77"/>
        <v>#VALUE!</v>
      </c>
      <c r="AK224" s="185" t="e">
        <f t="shared" ca="1" si="77"/>
        <v>#VALUE!</v>
      </c>
      <c r="AL224" s="185" t="e">
        <f t="shared" ca="1" si="77"/>
        <v>#VALUE!</v>
      </c>
      <c r="AM224" s="185" t="e">
        <f t="shared" ca="1" si="77"/>
        <v>#VALUE!</v>
      </c>
      <c r="AN224" s="185" t="e">
        <f t="shared" ca="1" si="77"/>
        <v>#VALUE!</v>
      </c>
      <c r="AO224" s="185" t="e">
        <f t="shared" ca="1" si="77"/>
        <v>#VALUE!</v>
      </c>
      <c r="AP224" s="185" t="e">
        <f t="shared" ca="1" si="77"/>
        <v>#VALUE!</v>
      </c>
    </row>
    <row r="225" spans="1:42">
      <c r="A225" s="57" t="str">
        <f>'[4]TS BYDem'!A164</f>
        <v>*</v>
      </c>
      <c r="B225" s="185" t="s">
        <v>288</v>
      </c>
      <c r="C225" s="185" t="s">
        <v>137</v>
      </c>
      <c r="D225" s="185" t="str">
        <f>'[4]TS BYDem'!D164</f>
        <v>IPPS</v>
      </c>
      <c r="E225" s="185" t="s">
        <v>137</v>
      </c>
      <c r="F225" s="185" t="s">
        <v>137</v>
      </c>
      <c r="G225" s="185" t="s">
        <v>137</v>
      </c>
      <c r="H225" s="185" t="s">
        <v>137</v>
      </c>
      <c r="I225" s="185">
        <v>0</v>
      </c>
      <c r="J225" s="185" t="str">
        <f>INDEX('[4]TS BYDem'!$J$10:$J$203,MATCH(D225,'[4]TS BYDem'!$D$10:$D$203,0))</f>
        <v/>
      </c>
      <c r="K225" s="185" t="e">
        <f t="shared" ca="1" si="76"/>
        <v>#VALUE!</v>
      </c>
      <c r="L225" s="185" t="e">
        <f t="shared" ca="1" si="76"/>
        <v>#VALUE!</v>
      </c>
      <c r="M225" s="185" t="e">
        <f t="shared" ca="1" si="76"/>
        <v>#VALUE!</v>
      </c>
      <c r="N225" s="185" t="e">
        <f t="shared" ca="1" si="76"/>
        <v>#VALUE!</v>
      </c>
      <c r="O225" s="185" t="e">
        <f t="shared" ca="1" si="76"/>
        <v>#VALUE!</v>
      </c>
      <c r="P225" s="185" t="e">
        <f t="shared" ca="1" si="76"/>
        <v>#VALUE!</v>
      </c>
      <c r="Q225" s="185" t="e">
        <f t="shared" ca="1" si="76"/>
        <v>#VALUE!</v>
      </c>
      <c r="R225" s="185" t="e">
        <f t="shared" ca="1" si="76"/>
        <v>#VALUE!</v>
      </c>
      <c r="S225" s="185" t="e">
        <f t="shared" ca="1" si="76"/>
        <v>#VALUE!</v>
      </c>
      <c r="T225" s="185" t="e">
        <f t="shared" ca="1" si="76"/>
        <v>#VALUE!</v>
      </c>
      <c r="U225" s="185" t="e">
        <f t="shared" ca="1" si="76"/>
        <v>#VALUE!</v>
      </c>
      <c r="V225" s="185" t="e">
        <f t="shared" ca="1" si="76"/>
        <v>#VALUE!</v>
      </c>
      <c r="W225" s="185" t="e">
        <f t="shared" ca="1" si="76"/>
        <v>#VALUE!</v>
      </c>
      <c r="X225" s="185" t="e">
        <f t="shared" ca="1" si="76"/>
        <v>#VALUE!</v>
      </c>
      <c r="Y225" s="185" t="e">
        <f t="shared" ca="1" si="76"/>
        <v>#VALUE!</v>
      </c>
      <c r="Z225" s="185" t="e">
        <f t="shared" ca="1" si="76"/>
        <v>#VALUE!</v>
      </c>
      <c r="AA225" s="185" t="e">
        <f t="shared" ca="1" si="77"/>
        <v>#VALUE!</v>
      </c>
      <c r="AB225" s="185" t="e">
        <f t="shared" ca="1" si="77"/>
        <v>#VALUE!</v>
      </c>
      <c r="AC225" s="185" t="e">
        <f t="shared" ca="1" si="77"/>
        <v>#VALUE!</v>
      </c>
      <c r="AD225" s="185" t="e">
        <f t="shared" ca="1" si="77"/>
        <v>#VALUE!</v>
      </c>
      <c r="AE225" s="185" t="e">
        <f t="shared" ca="1" si="77"/>
        <v>#VALUE!</v>
      </c>
      <c r="AF225" s="185" t="e">
        <f t="shared" ca="1" si="77"/>
        <v>#VALUE!</v>
      </c>
      <c r="AG225" s="185" t="e">
        <f t="shared" ca="1" si="77"/>
        <v>#VALUE!</v>
      </c>
      <c r="AH225" s="185" t="e">
        <f t="shared" ca="1" si="77"/>
        <v>#VALUE!</v>
      </c>
      <c r="AI225" s="185" t="e">
        <f t="shared" ca="1" si="77"/>
        <v>#VALUE!</v>
      </c>
      <c r="AJ225" s="185" t="e">
        <f t="shared" ca="1" si="77"/>
        <v>#VALUE!</v>
      </c>
      <c r="AK225" s="185" t="e">
        <f t="shared" ca="1" si="77"/>
        <v>#VALUE!</v>
      </c>
      <c r="AL225" s="185" t="e">
        <f t="shared" ca="1" si="77"/>
        <v>#VALUE!</v>
      </c>
      <c r="AM225" s="185" t="e">
        <f t="shared" ca="1" si="77"/>
        <v>#VALUE!</v>
      </c>
      <c r="AN225" s="185" t="e">
        <f t="shared" ca="1" si="77"/>
        <v>#VALUE!</v>
      </c>
      <c r="AO225" s="185" t="e">
        <f t="shared" ca="1" si="77"/>
        <v>#VALUE!</v>
      </c>
      <c r="AP225" s="185" t="e">
        <f t="shared" ca="1" si="77"/>
        <v>#VALUE!</v>
      </c>
    </row>
    <row r="226" spans="1:42">
      <c r="A226" s="57" t="str">
        <f>'[4]TS BYDem'!A165</f>
        <v>*</v>
      </c>
      <c r="B226" s="185" t="s">
        <v>288</v>
      </c>
      <c r="C226" s="185" t="s">
        <v>137</v>
      </c>
      <c r="D226" s="185" t="str">
        <f>'[4]TS BYDem'!D165</f>
        <v>IPPS</v>
      </c>
      <c r="E226" s="185" t="s">
        <v>137</v>
      </c>
      <c r="F226" s="185" t="s">
        <v>137</v>
      </c>
      <c r="G226" s="185" t="s">
        <v>137</v>
      </c>
      <c r="H226" s="185" t="s">
        <v>137</v>
      </c>
      <c r="I226" s="185">
        <v>0</v>
      </c>
      <c r="J226" s="185" t="str">
        <f>INDEX('[4]TS BYDem'!$J$10:$J$203,MATCH(D226,'[4]TS BYDem'!$D$10:$D$203,0))</f>
        <v/>
      </c>
      <c r="K226" s="185" t="e">
        <f t="shared" ca="1" si="76"/>
        <v>#VALUE!</v>
      </c>
      <c r="L226" s="185" t="e">
        <f t="shared" ca="1" si="76"/>
        <v>#VALUE!</v>
      </c>
      <c r="M226" s="185" t="e">
        <f t="shared" ca="1" si="76"/>
        <v>#VALUE!</v>
      </c>
      <c r="N226" s="185" t="e">
        <f t="shared" ca="1" si="76"/>
        <v>#VALUE!</v>
      </c>
      <c r="O226" s="185" t="e">
        <f t="shared" ca="1" si="76"/>
        <v>#VALUE!</v>
      </c>
      <c r="P226" s="185" t="e">
        <f t="shared" ca="1" si="76"/>
        <v>#VALUE!</v>
      </c>
      <c r="Q226" s="185" t="e">
        <f t="shared" ca="1" si="76"/>
        <v>#VALUE!</v>
      </c>
      <c r="R226" s="185" t="e">
        <f t="shared" ca="1" si="76"/>
        <v>#VALUE!</v>
      </c>
      <c r="S226" s="185" t="e">
        <f t="shared" ca="1" si="76"/>
        <v>#VALUE!</v>
      </c>
      <c r="T226" s="185" t="e">
        <f t="shared" ca="1" si="76"/>
        <v>#VALUE!</v>
      </c>
      <c r="U226" s="185" t="e">
        <f t="shared" ca="1" si="76"/>
        <v>#VALUE!</v>
      </c>
      <c r="V226" s="185" t="e">
        <f t="shared" ca="1" si="76"/>
        <v>#VALUE!</v>
      </c>
      <c r="W226" s="185" t="e">
        <f t="shared" ca="1" si="76"/>
        <v>#VALUE!</v>
      </c>
      <c r="X226" s="185" t="e">
        <f t="shared" ca="1" si="76"/>
        <v>#VALUE!</v>
      </c>
      <c r="Y226" s="185" t="e">
        <f t="shared" ca="1" si="76"/>
        <v>#VALUE!</v>
      </c>
      <c r="Z226" s="185" t="e">
        <f t="shared" ca="1" si="76"/>
        <v>#VALUE!</v>
      </c>
      <c r="AA226" s="185" t="e">
        <f t="shared" ca="1" si="77"/>
        <v>#VALUE!</v>
      </c>
      <c r="AB226" s="185" t="e">
        <f t="shared" ca="1" si="77"/>
        <v>#VALUE!</v>
      </c>
      <c r="AC226" s="185" t="e">
        <f t="shared" ca="1" si="77"/>
        <v>#VALUE!</v>
      </c>
      <c r="AD226" s="185" t="e">
        <f t="shared" ca="1" si="77"/>
        <v>#VALUE!</v>
      </c>
      <c r="AE226" s="185" t="e">
        <f t="shared" ca="1" si="77"/>
        <v>#VALUE!</v>
      </c>
      <c r="AF226" s="185" t="e">
        <f t="shared" ca="1" si="77"/>
        <v>#VALUE!</v>
      </c>
      <c r="AG226" s="185" t="e">
        <f t="shared" ca="1" si="77"/>
        <v>#VALUE!</v>
      </c>
      <c r="AH226" s="185" t="e">
        <f t="shared" ca="1" si="77"/>
        <v>#VALUE!</v>
      </c>
      <c r="AI226" s="185" t="e">
        <f t="shared" ca="1" si="77"/>
        <v>#VALUE!</v>
      </c>
      <c r="AJ226" s="185" t="e">
        <f t="shared" ca="1" si="77"/>
        <v>#VALUE!</v>
      </c>
      <c r="AK226" s="185" t="e">
        <f t="shared" ca="1" si="77"/>
        <v>#VALUE!</v>
      </c>
      <c r="AL226" s="185" t="e">
        <f t="shared" ca="1" si="77"/>
        <v>#VALUE!</v>
      </c>
      <c r="AM226" s="185" t="e">
        <f t="shared" ca="1" si="77"/>
        <v>#VALUE!</v>
      </c>
      <c r="AN226" s="185" t="e">
        <f t="shared" ca="1" si="77"/>
        <v>#VALUE!</v>
      </c>
      <c r="AO226" s="185" t="e">
        <f t="shared" ca="1" si="77"/>
        <v>#VALUE!</v>
      </c>
      <c r="AP226" s="185" t="e">
        <f t="shared" ca="1" si="77"/>
        <v>#VALUE!</v>
      </c>
    </row>
    <row r="227" spans="1:42">
      <c r="A227" s="57" t="str">
        <f>'[4]TS BYDem'!A166</f>
        <v>*</v>
      </c>
      <c r="B227" s="185" t="s">
        <v>288</v>
      </c>
      <c r="C227" s="185" t="s">
        <v>137</v>
      </c>
      <c r="D227" s="185" t="str">
        <f>'[4]TS BYDem'!D166</f>
        <v>IPPS</v>
      </c>
      <c r="E227" s="185" t="s">
        <v>137</v>
      </c>
      <c r="F227" s="185" t="s">
        <v>137</v>
      </c>
      <c r="G227" s="185" t="s">
        <v>137</v>
      </c>
      <c r="H227" s="185" t="s">
        <v>137</v>
      </c>
      <c r="I227" s="185">
        <v>0</v>
      </c>
      <c r="J227" s="185" t="str">
        <f>INDEX('[4]TS BYDem'!$J$10:$J$203,MATCH(D227,'[4]TS BYDem'!$D$10:$D$203,0))</f>
        <v/>
      </c>
      <c r="K227" s="185" t="e">
        <f t="shared" ca="1" si="76"/>
        <v>#VALUE!</v>
      </c>
      <c r="L227" s="185" t="e">
        <f t="shared" ca="1" si="76"/>
        <v>#VALUE!</v>
      </c>
      <c r="M227" s="185" t="e">
        <f t="shared" ca="1" si="76"/>
        <v>#VALUE!</v>
      </c>
      <c r="N227" s="185" t="e">
        <f t="shared" ca="1" si="76"/>
        <v>#VALUE!</v>
      </c>
      <c r="O227" s="185" t="e">
        <f t="shared" ca="1" si="76"/>
        <v>#VALUE!</v>
      </c>
      <c r="P227" s="185" t="e">
        <f t="shared" ca="1" si="76"/>
        <v>#VALUE!</v>
      </c>
      <c r="Q227" s="185" t="e">
        <f t="shared" ca="1" si="76"/>
        <v>#VALUE!</v>
      </c>
      <c r="R227" s="185" t="e">
        <f t="shared" ca="1" si="76"/>
        <v>#VALUE!</v>
      </c>
      <c r="S227" s="185" t="e">
        <f t="shared" ca="1" si="76"/>
        <v>#VALUE!</v>
      </c>
      <c r="T227" s="185" t="e">
        <f t="shared" ca="1" si="76"/>
        <v>#VALUE!</v>
      </c>
      <c r="U227" s="185" t="e">
        <f t="shared" ca="1" si="76"/>
        <v>#VALUE!</v>
      </c>
      <c r="V227" s="185" t="e">
        <f t="shared" ca="1" si="76"/>
        <v>#VALUE!</v>
      </c>
      <c r="W227" s="185" t="e">
        <f t="shared" ca="1" si="76"/>
        <v>#VALUE!</v>
      </c>
      <c r="X227" s="185" t="e">
        <f t="shared" ca="1" si="76"/>
        <v>#VALUE!</v>
      </c>
      <c r="Y227" s="185" t="e">
        <f t="shared" ca="1" si="76"/>
        <v>#VALUE!</v>
      </c>
      <c r="Z227" s="185" t="e">
        <f t="shared" ref="Z227:AO228" ca="1" si="78">Z$211/Y$211*Y227</f>
        <v>#VALUE!</v>
      </c>
      <c r="AA227" s="185" t="e">
        <f t="shared" ca="1" si="78"/>
        <v>#VALUE!</v>
      </c>
      <c r="AB227" s="185" t="e">
        <f t="shared" ca="1" si="78"/>
        <v>#VALUE!</v>
      </c>
      <c r="AC227" s="185" t="e">
        <f t="shared" ca="1" si="78"/>
        <v>#VALUE!</v>
      </c>
      <c r="AD227" s="185" t="e">
        <f t="shared" ca="1" si="78"/>
        <v>#VALUE!</v>
      </c>
      <c r="AE227" s="185" t="e">
        <f t="shared" ca="1" si="78"/>
        <v>#VALUE!</v>
      </c>
      <c r="AF227" s="185" t="e">
        <f t="shared" ca="1" si="78"/>
        <v>#VALUE!</v>
      </c>
      <c r="AG227" s="185" t="e">
        <f t="shared" ca="1" si="78"/>
        <v>#VALUE!</v>
      </c>
      <c r="AH227" s="185" t="e">
        <f t="shared" ca="1" si="78"/>
        <v>#VALUE!</v>
      </c>
      <c r="AI227" s="185" t="e">
        <f t="shared" ca="1" si="78"/>
        <v>#VALUE!</v>
      </c>
      <c r="AJ227" s="185" t="e">
        <f t="shared" ca="1" si="78"/>
        <v>#VALUE!</v>
      </c>
      <c r="AK227" s="185" t="e">
        <f t="shared" ca="1" si="78"/>
        <v>#VALUE!</v>
      </c>
      <c r="AL227" s="185" t="e">
        <f t="shared" ca="1" si="78"/>
        <v>#VALUE!</v>
      </c>
      <c r="AM227" s="185" t="e">
        <f t="shared" ca="1" si="78"/>
        <v>#VALUE!</v>
      </c>
      <c r="AN227" s="185" t="e">
        <f t="shared" ca="1" si="78"/>
        <v>#VALUE!</v>
      </c>
      <c r="AO227" s="185" t="e">
        <f t="shared" ca="1" si="78"/>
        <v>#VALUE!</v>
      </c>
      <c r="AP227" s="185" t="e">
        <f t="shared" ca="1" si="77"/>
        <v>#VALUE!</v>
      </c>
    </row>
    <row r="228" spans="1:42">
      <c r="A228" s="57" t="str">
        <f>'[4]TS BYDem'!A167</f>
        <v>*</v>
      </c>
      <c r="B228" s="185" t="s">
        <v>288</v>
      </c>
      <c r="C228" s="185" t="s">
        <v>137</v>
      </c>
      <c r="D228" s="185" t="str">
        <f>'[4]TS BYDem'!D167</f>
        <v>IPPS</v>
      </c>
      <c r="E228" s="185" t="s">
        <v>137</v>
      </c>
      <c r="F228" s="185" t="s">
        <v>137</v>
      </c>
      <c r="G228" s="185" t="s">
        <v>137</v>
      </c>
      <c r="H228" s="185" t="s">
        <v>137</v>
      </c>
      <c r="I228" s="185">
        <v>0</v>
      </c>
      <c r="J228" s="185" t="str">
        <f>INDEX('[4]TS BYDem'!$J$10:$J$203,MATCH(D228,'[4]TS BYDem'!$D$10:$D$203,0))</f>
        <v/>
      </c>
      <c r="K228" s="185" t="e">
        <f t="shared" ref="K228:Z229" ca="1" si="79">K$211/J$211*J228</f>
        <v>#VALUE!</v>
      </c>
      <c r="L228" s="185" t="e">
        <f t="shared" ca="1" si="79"/>
        <v>#VALUE!</v>
      </c>
      <c r="M228" s="185" t="e">
        <f t="shared" ca="1" si="79"/>
        <v>#VALUE!</v>
      </c>
      <c r="N228" s="185" t="e">
        <f t="shared" ca="1" si="79"/>
        <v>#VALUE!</v>
      </c>
      <c r="O228" s="185" t="e">
        <f t="shared" ca="1" si="79"/>
        <v>#VALUE!</v>
      </c>
      <c r="P228" s="185" t="e">
        <f t="shared" ca="1" si="79"/>
        <v>#VALUE!</v>
      </c>
      <c r="Q228" s="185" t="e">
        <f t="shared" ca="1" si="79"/>
        <v>#VALUE!</v>
      </c>
      <c r="R228" s="185" t="e">
        <f t="shared" ca="1" si="79"/>
        <v>#VALUE!</v>
      </c>
      <c r="S228" s="185" t="e">
        <f t="shared" ca="1" si="79"/>
        <v>#VALUE!</v>
      </c>
      <c r="T228" s="185" t="e">
        <f t="shared" ca="1" si="79"/>
        <v>#VALUE!</v>
      </c>
      <c r="U228" s="185" t="e">
        <f t="shared" ca="1" si="79"/>
        <v>#VALUE!</v>
      </c>
      <c r="V228" s="185" t="e">
        <f t="shared" ca="1" si="79"/>
        <v>#VALUE!</v>
      </c>
      <c r="W228" s="185" t="e">
        <f t="shared" ca="1" si="79"/>
        <v>#VALUE!</v>
      </c>
      <c r="X228" s="185" t="e">
        <f t="shared" ca="1" si="79"/>
        <v>#VALUE!</v>
      </c>
      <c r="Y228" s="185" t="e">
        <f t="shared" ca="1" si="79"/>
        <v>#VALUE!</v>
      </c>
      <c r="Z228" s="185" t="e">
        <f t="shared" ca="1" si="79"/>
        <v>#VALUE!</v>
      </c>
      <c r="AA228" s="185" t="e">
        <f t="shared" ca="1" si="78"/>
        <v>#VALUE!</v>
      </c>
      <c r="AB228" s="185" t="e">
        <f t="shared" ca="1" si="78"/>
        <v>#VALUE!</v>
      </c>
      <c r="AC228" s="185" t="e">
        <f t="shared" ca="1" si="78"/>
        <v>#VALUE!</v>
      </c>
      <c r="AD228" s="185" t="e">
        <f t="shared" ca="1" si="78"/>
        <v>#VALUE!</v>
      </c>
      <c r="AE228" s="185" t="e">
        <f t="shared" ca="1" si="78"/>
        <v>#VALUE!</v>
      </c>
      <c r="AF228" s="185" t="e">
        <f t="shared" ca="1" si="78"/>
        <v>#VALUE!</v>
      </c>
      <c r="AG228" s="185" t="e">
        <f t="shared" ca="1" si="78"/>
        <v>#VALUE!</v>
      </c>
      <c r="AH228" s="185" t="e">
        <f t="shared" ca="1" si="78"/>
        <v>#VALUE!</v>
      </c>
      <c r="AI228" s="185" t="e">
        <f t="shared" ca="1" si="78"/>
        <v>#VALUE!</v>
      </c>
      <c r="AJ228" s="185" t="e">
        <f t="shared" ca="1" si="78"/>
        <v>#VALUE!</v>
      </c>
      <c r="AK228" s="185" t="e">
        <f t="shared" ca="1" si="78"/>
        <v>#VALUE!</v>
      </c>
      <c r="AL228" s="185" t="e">
        <f t="shared" ca="1" si="78"/>
        <v>#VALUE!</v>
      </c>
      <c r="AM228" s="185" t="e">
        <f t="shared" ca="1" si="78"/>
        <v>#VALUE!</v>
      </c>
      <c r="AN228" s="185" t="e">
        <f t="shared" ca="1" si="78"/>
        <v>#VALUE!</v>
      </c>
      <c r="AO228" s="185" t="e">
        <f t="shared" ca="1" si="78"/>
        <v>#VALUE!</v>
      </c>
      <c r="AP228" s="185" t="e">
        <f t="shared" ref="L228:AP229" ca="1" si="80">AP$211/AO$211*AO228</f>
        <v>#VALUE!</v>
      </c>
    </row>
    <row r="229" spans="1:42">
      <c r="A229" s="57" t="str">
        <f>'[4]TS BYDem'!A168</f>
        <v>*</v>
      </c>
      <c r="B229" s="185" t="s">
        <v>288</v>
      </c>
      <c r="C229" s="185" t="s">
        <v>137</v>
      </c>
      <c r="D229" s="185" t="str">
        <f>'[4]TS BYDem'!D168</f>
        <v>IPPS</v>
      </c>
      <c r="E229" s="185" t="s">
        <v>137</v>
      </c>
      <c r="F229" s="185" t="s">
        <v>137</v>
      </c>
      <c r="G229" s="185" t="s">
        <v>137</v>
      </c>
      <c r="H229" s="185" t="s">
        <v>137</v>
      </c>
      <c r="I229" s="185">
        <v>0</v>
      </c>
      <c r="J229" s="185" t="str">
        <f>INDEX('[4]TS BYDem'!$J$10:$J$203,MATCH(D229,'[4]TS BYDem'!$D$10:$D$203,0))</f>
        <v/>
      </c>
      <c r="K229" s="185" t="e">
        <f t="shared" ca="1" si="79"/>
        <v>#VALUE!</v>
      </c>
      <c r="L229" s="185" t="e">
        <f t="shared" ca="1" si="80"/>
        <v>#VALUE!</v>
      </c>
      <c r="M229" s="185" t="e">
        <f t="shared" ca="1" si="80"/>
        <v>#VALUE!</v>
      </c>
      <c r="N229" s="185" t="e">
        <f t="shared" ca="1" si="80"/>
        <v>#VALUE!</v>
      </c>
      <c r="O229" s="185" t="e">
        <f t="shared" ca="1" si="80"/>
        <v>#VALUE!</v>
      </c>
      <c r="P229" s="185" t="e">
        <f t="shared" ca="1" si="80"/>
        <v>#VALUE!</v>
      </c>
      <c r="Q229" s="185" t="e">
        <f t="shared" ca="1" si="80"/>
        <v>#VALUE!</v>
      </c>
      <c r="R229" s="185" t="e">
        <f t="shared" ca="1" si="80"/>
        <v>#VALUE!</v>
      </c>
      <c r="S229" s="185" t="e">
        <f t="shared" ca="1" si="80"/>
        <v>#VALUE!</v>
      </c>
      <c r="T229" s="185" t="e">
        <f t="shared" ca="1" si="80"/>
        <v>#VALUE!</v>
      </c>
      <c r="U229" s="185" t="e">
        <f t="shared" ca="1" si="80"/>
        <v>#VALUE!</v>
      </c>
      <c r="V229" s="185" t="e">
        <f t="shared" ca="1" si="80"/>
        <v>#VALUE!</v>
      </c>
      <c r="W229" s="185" t="e">
        <f t="shared" ca="1" si="80"/>
        <v>#VALUE!</v>
      </c>
      <c r="X229" s="185" t="e">
        <f t="shared" ca="1" si="80"/>
        <v>#VALUE!</v>
      </c>
      <c r="Y229" s="185" t="e">
        <f t="shared" ca="1" si="80"/>
        <v>#VALUE!</v>
      </c>
      <c r="Z229" s="185" t="e">
        <f t="shared" ca="1" si="80"/>
        <v>#VALUE!</v>
      </c>
      <c r="AA229" s="185" t="e">
        <f t="shared" ca="1" si="80"/>
        <v>#VALUE!</v>
      </c>
      <c r="AB229" s="185" t="e">
        <f t="shared" ca="1" si="80"/>
        <v>#VALUE!</v>
      </c>
      <c r="AC229" s="185" t="e">
        <f t="shared" ca="1" si="80"/>
        <v>#VALUE!</v>
      </c>
      <c r="AD229" s="185" t="e">
        <f t="shared" ca="1" si="80"/>
        <v>#VALUE!</v>
      </c>
      <c r="AE229" s="185" t="e">
        <f t="shared" ca="1" si="80"/>
        <v>#VALUE!</v>
      </c>
      <c r="AF229" s="185" t="e">
        <f t="shared" ca="1" si="80"/>
        <v>#VALUE!</v>
      </c>
      <c r="AG229" s="185" t="e">
        <f t="shared" ca="1" si="80"/>
        <v>#VALUE!</v>
      </c>
      <c r="AH229" s="185" t="e">
        <f t="shared" ca="1" si="80"/>
        <v>#VALUE!</v>
      </c>
      <c r="AI229" s="185" t="e">
        <f t="shared" ca="1" si="80"/>
        <v>#VALUE!</v>
      </c>
      <c r="AJ229" s="185" t="e">
        <f t="shared" ca="1" si="80"/>
        <v>#VALUE!</v>
      </c>
      <c r="AK229" s="185" t="e">
        <f t="shared" ca="1" si="80"/>
        <v>#VALUE!</v>
      </c>
      <c r="AL229" s="185" t="e">
        <f t="shared" ca="1" si="80"/>
        <v>#VALUE!</v>
      </c>
      <c r="AM229" s="185" t="e">
        <f t="shared" ca="1" si="80"/>
        <v>#VALUE!</v>
      </c>
      <c r="AN229" s="185" t="e">
        <f t="shared" ca="1" si="80"/>
        <v>#VALUE!</v>
      </c>
      <c r="AO229" s="185" t="e">
        <f t="shared" ca="1" si="80"/>
        <v>#VALUE!</v>
      </c>
      <c r="AP229" s="185" t="e">
        <f t="shared" ca="1" si="80"/>
        <v>#VALUE!</v>
      </c>
    </row>
    <row r="230" spans="1:42" s="5" customFormat="1">
      <c r="A230" s="57" t="str">
        <f>'[4]TS BYDem'!A165</f>
        <v>*</v>
      </c>
      <c r="B230" s="5">
        <f>B211+2</f>
        <v>13</v>
      </c>
      <c r="C230" s="3" t="str">
        <f ca="1">OFFSET($C$9,$B230,0)</f>
        <v>Other</v>
      </c>
      <c r="D230" s="3" t="str">
        <f ca="1">OFFSET($B$9,$B230,0)</f>
        <v>OT</v>
      </c>
      <c r="J230" s="5">
        <f ca="1">SUMIF($B$10:$B$22,$D230,J$10:J$22)*SUMIF($B$10:$B$22,$D230,J$41:J$53)</f>
        <v>235.5</v>
      </c>
      <c r="K230" s="5">
        <f t="shared" ref="K230:AP230" ca="1" si="81">SUMIF($B$10:$B$22,$D230,K$10:K$22)*SUMIF($B$10:$B$22,$D230,K$41:K$53)</f>
        <v>241.63</v>
      </c>
      <c r="L230" s="5">
        <f t="shared" ca="1" si="81"/>
        <v>245.65</v>
      </c>
      <c r="M230" s="5">
        <f t="shared" ca="1" si="81"/>
        <v>248.47</v>
      </c>
      <c r="N230" s="5">
        <f t="shared" ca="1" si="81"/>
        <v>251.07</v>
      </c>
      <c r="O230" s="5">
        <f t="shared" ca="1" si="81"/>
        <v>252.54</v>
      </c>
      <c r="P230" s="5">
        <f t="shared" ca="1" si="81"/>
        <v>254.74</v>
      </c>
      <c r="Q230" s="5">
        <f t="shared" ca="1" si="81"/>
        <v>254.67</v>
      </c>
      <c r="R230" s="5">
        <f t="shared" ca="1" si="81"/>
        <v>230.24</v>
      </c>
      <c r="S230" s="5">
        <f t="shared" ca="1" si="81"/>
        <v>236.69</v>
      </c>
      <c r="T230" s="5">
        <f t="shared" ca="1" si="81"/>
        <v>242.59</v>
      </c>
      <c r="U230" s="5">
        <f t="shared" ca="1" si="81"/>
        <v>248.33</v>
      </c>
      <c r="V230" s="5">
        <f t="shared" ca="1" si="81"/>
        <v>253.83</v>
      </c>
      <c r="W230" s="5">
        <f t="shared" ca="1" si="81"/>
        <v>259.61</v>
      </c>
      <c r="X230" s="5">
        <f t="shared" ca="1" si="81"/>
        <v>266.92</v>
      </c>
      <c r="Y230" s="5">
        <f t="shared" ca="1" si="81"/>
        <v>274.13</v>
      </c>
      <c r="Z230" s="5">
        <f t="shared" ca="1" si="81"/>
        <v>281.63</v>
      </c>
      <c r="AA230" s="5">
        <f t="shared" ca="1" si="81"/>
        <v>289.23</v>
      </c>
      <c r="AB230" s="5">
        <f t="shared" ca="1" si="81"/>
        <v>297.02</v>
      </c>
      <c r="AC230" s="5">
        <f t="shared" ca="1" si="81"/>
        <v>305.64</v>
      </c>
      <c r="AD230" s="5">
        <f t="shared" ca="1" si="81"/>
        <v>313.91000000000003</v>
      </c>
      <c r="AE230" s="5">
        <f t="shared" ca="1" si="81"/>
        <v>323.06</v>
      </c>
      <c r="AF230" s="5">
        <f t="shared" ca="1" si="81"/>
        <v>332.87</v>
      </c>
      <c r="AG230" s="5">
        <f t="shared" ca="1" si="81"/>
        <v>343.27</v>
      </c>
      <c r="AH230" s="5">
        <f t="shared" ca="1" si="81"/>
        <v>354.09</v>
      </c>
      <c r="AI230" s="5">
        <f t="shared" ca="1" si="81"/>
        <v>365.3</v>
      </c>
      <c r="AJ230" s="5">
        <f t="shared" ca="1" si="81"/>
        <v>376.62</v>
      </c>
      <c r="AK230" s="5">
        <f t="shared" ca="1" si="81"/>
        <v>388.36</v>
      </c>
      <c r="AL230" s="5">
        <f t="shared" ca="1" si="81"/>
        <v>400.79</v>
      </c>
      <c r="AM230" s="5">
        <f t="shared" ca="1" si="81"/>
        <v>469.74</v>
      </c>
      <c r="AN230" s="5">
        <f t="shared" ca="1" si="81"/>
        <v>556.72</v>
      </c>
      <c r="AO230" s="5">
        <f t="shared" ca="1" si="81"/>
        <v>709.64500000000044</v>
      </c>
      <c r="AP230" s="5">
        <f t="shared" ca="1" si="81"/>
        <v>865.57499999999709</v>
      </c>
    </row>
    <row r="231" spans="1:42">
      <c r="A231" s="57" t="str">
        <f>'[4]TS BYDem'!A170</f>
        <v>*</v>
      </c>
      <c r="B231" s="185" t="s">
        <v>288</v>
      </c>
      <c r="C231" s="185" t="s">
        <v>137</v>
      </c>
      <c r="D231" s="185">
        <f>'[4]TS BYDem'!D170</f>
        <v>0</v>
      </c>
      <c r="E231" s="185" t="s">
        <v>137</v>
      </c>
      <c r="F231" s="185" t="s">
        <v>137</v>
      </c>
      <c r="G231" s="185" t="s">
        <v>137</v>
      </c>
      <c r="H231" s="185" t="s">
        <v>137</v>
      </c>
      <c r="I231" s="185">
        <v>0</v>
      </c>
      <c r="J231" s="185" t="str">
        <f>INDEX('[4]TS BYDem'!$J$10:$J$203,MATCH(D231,'[4]TS BYDem'!$D$10:$D$203,0))</f>
        <v/>
      </c>
      <c r="K231" s="185" t="e">
        <f t="shared" ref="K231:Z253" ca="1" si="82">K$230/J$230*J231</f>
        <v>#VALUE!</v>
      </c>
      <c r="L231" s="185" t="e">
        <f t="shared" ca="1" si="82"/>
        <v>#VALUE!</v>
      </c>
      <c r="M231" s="185" t="e">
        <f t="shared" ca="1" si="82"/>
        <v>#VALUE!</v>
      </c>
      <c r="N231" s="185" t="e">
        <f t="shared" ca="1" si="82"/>
        <v>#VALUE!</v>
      </c>
      <c r="O231" s="185" t="e">
        <f t="shared" ca="1" si="82"/>
        <v>#VALUE!</v>
      </c>
      <c r="P231" s="185" t="e">
        <f t="shared" ca="1" si="82"/>
        <v>#VALUE!</v>
      </c>
      <c r="Q231" s="185" t="e">
        <f t="shared" ca="1" si="82"/>
        <v>#VALUE!</v>
      </c>
      <c r="R231" s="185" t="e">
        <f t="shared" ca="1" si="82"/>
        <v>#VALUE!</v>
      </c>
      <c r="S231" s="185" t="e">
        <f t="shared" ca="1" si="82"/>
        <v>#VALUE!</v>
      </c>
      <c r="T231" s="185" t="e">
        <f t="shared" ca="1" si="82"/>
        <v>#VALUE!</v>
      </c>
      <c r="U231" s="185" t="e">
        <f t="shared" ca="1" si="82"/>
        <v>#VALUE!</v>
      </c>
      <c r="V231" s="185" t="e">
        <f t="shared" ca="1" si="82"/>
        <v>#VALUE!</v>
      </c>
      <c r="W231" s="185" t="e">
        <f t="shared" ca="1" si="82"/>
        <v>#VALUE!</v>
      </c>
      <c r="X231" s="185" t="e">
        <f t="shared" ca="1" si="82"/>
        <v>#VALUE!</v>
      </c>
      <c r="Y231" s="185" t="e">
        <f t="shared" ca="1" si="82"/>
        <v>#VALUE!</v>
      </c>
      <c r="Z231" s="185" t="e">
        <f t="shared" ca="1" si="82"/>
        <v>#VALUE!</v>
      </c>
      <c r="AA231" s="185" t="e">
        <f t="shared" ref="AA231:AP246" ca="1" si="83">AA$230/Z$230*Z231</f>
        <v>#VALUE!</v>
      </c>
      <c r="AB231" s="185" t="e">
        <f t="shared" ca="1" si="83"/>
        <v>#VALUE!</v>
      </c>
      <c r="AC231" s="185" t="e">
        <f t="shared" ca="1" si="83"/>
        <v>#VALUE!</v>
      </c>
      <c r="AD231" s="185" t="e">
        <f t="shared" ca="1" si="83"/>
        <v>#VALUE!</v>
      </c>
      <c r="AE231" s="185" t="e">
        <f t="shared" ca="1" si="83"/>
        <v>#VALUE!</v>
      </c>
      <c r="AF231" s="185" t="e">
        <f t="shared" ca="1" si="83"/>
        <v>#VALUE!</v>
      </c>
      <c r="AG231" s="185" t="e">
        <f t="shared" ca="1" si="83"/>
        <v>#VALUE!</v>
      </c>
      <c r="AH231" s="185" t="e">
        <f t="shared" ca="1" si="83"/>
        <v>#VALUE!</v>
      </c>
      <c r="AI231" s="185" t="e">
        <f t="shared" ca="1" si="83"/>
        <v>#VALUE!</v>
      </c>
      <c r="AJ231" s="185" t="e">
        <f t="shared" ca="1" si="83"/>
        <v>#VALUE!</v>
      </c>
      <c r="AK231" s="185" t="e">
        <f t="shared" ca="1" si="83"/>
        <v>#VALUE!</v>
      </c>
      <c r="AL231" s="185" t="e">
        <f t="shared" ca="1" si="83"/>
        <v>#VALUE!</v>
      </c>
      <c r="AM231" s="185" t="e">
        <f t="shared" ca="1" si="83"/>
        <v>#VALUE!</v>
      </c>
      <c r="AN231" s="185" t="e">
        <f t="shared" ca="1" si="83"/>
        <v>#VALUE!</v>
      </c>
      <c r="AO231" s="185" t="e">
        <f t="shared" ca="1" si="83"/>
        <v>#VALUE!</v>
      </c>
      <c r="AP231" s="185" t="e">
        <f t="shared" ca="1" si="83"/>
        <v>#VALUE!</v>
      </c>
    </row>
    <row r="232" spans="1:42">
      <c r="A232" s="57" t="str">
        <f>'[4]TS BYDem'!A171</f>
        <v>*</v>
      </c>
      <c r="B232" s="185" t="s">
        <v>288</v>
      </c>
      <c r="C232" s="185" t="s">
        <v>137</v>
      </c>
      <c r="D232" s="185">
        <f>'[4]TS BYDem'!D171</f>
        <v>2</v>
      </c>
      <c r="E232" s="185" t="s">
        <v>137</v>
      </c>
      <c r="F232" s="185" t="s">
        <v>137</v>
      </c>
      <c r="G232" s="185" t="s">
        <v>137</v>
      </c>
      <c r="H232" s="185" t="s">
        <v>137</v>
      </c>
      <c r="I232" s="185">
        <v>0</v>
      </c>
      <c r="J232" s="185" t="str">
        <f>INDEX('[4]TS BYDem'!$J$10:$J$203,MATCH(D232,'[4]TS BYDem'!$D$10:$D$203,0))</f>
        <v/>
      </c>
      <c r="K232" s="185" t="e">
        <f t="shared" ca="1" si="82"/>
        <v>#VALUE!</v>
      </c>
      <c r="L232" s="185" t="e">
        <f t="shared" ca="1" si="82"/>
        <v>#VALUE!</v>
      </c>
      <c r="M232" s="185" t="e">
        <f t="shared" ca="1" si="82"/>
        <v>#VALUE!</v>
      </c>
      <c r="N232" s="185" t="e">
        <f t="shared" ca="1" si="82"/>
        <v>#VALUE!</v>
      </c>
      <c r="O232" s="185" t="e">
        <f t="shared" ca="1" si="82"/>
        <v>#VALUE!</v>
      </c>
      <c r="P232" s="185" t="e">
        <f t="shared" ca="1" si="82"/>
        <v>#VALUE!</v>
      </c>
      <c r="Q232" s="185" t="e">
        <f t="shared" ca="1" si="82"/>
        <v>#VALUE!</v>
      </c>
      <c r="R232" s="185" t="e">
        <f t="shared" ca="1" si="82"/>
        <v>#VALUE!</v>
      </c>
      <c r="S232" s="185" t="e">
        <f t="shared" ca="1" si="82"/>
        <v>#VALUE!</v>
      </c>
      <c r="T232" s="185" t="e">
        <f t="shared" ca="1" si="82"/>
        <v>#VALUE!</v>
      </c>
      <c r="U232" s="185" t="e">
        <f t="shared" ca="1" si="82"/>
        <v>#VALUE!</v>
      </c>
      <c r="V232" s="185" t="e">
        <f t="shared" ca="1" si="82"/>
        <v>#VALUE!</v>
      </c>
      <c r="W232" s="185" t="e">
        <f t="shared" ca="1" si="82"/>
        <v>#VALUE!</v>
      </c>
      <c r="X232" s="185" t="e">
        <f t="shared" ca="1" si="82"/>
        <v>#VALUE!</v>
      </c>
      <c r="Y232" s="185" t="e">
        <f t="shared" ca="1" si="82"/>
        <v>#VALUE!</v>
      </c>
      <c r="Z232" s="185" t="e">
        <f t="shared" ca="1" si="82"/>
        <v>#VALUE!</v>
      </c>
      <c r="AA232" s="185" t="e">
        <f t="shared" ca="1" si="83"/>
        <v>#VALUE!</v>
      </c>
      <c r="AB232" s="185" t="e">
        <f t="shared" ca="1" si="83"/>
        <v>#VALUE!</v>
      </c>
      <c r="AC232" s="185" t="e">
        <f t="shared" ca="1" si="83"/>
        <v>#VALUE!</v>
      </c>
      <c r="AD232" s="185" t="e">
        <f t="shared" ca="1" si="83"/>
        <v>#VALUE!</v>
      </c>
      <c r="AE232" s="185" t="e">
        <f t="shared" ca="1" si="83"/>
        <v>#VALUE!</v>
      </c>
      <c r="AF232" s="185" t="e">
        <f t="shared" ca="1" si="83"/>
        <v>#VALUE!</v>
      </c>
      <c r="AG232" s="185" t="e">
        <f t="shared" ca="1" si="83"/>
        <v>#VALUE!</v>
      </c>
      <c r="AH232" s="185" t="e">
        <f t="shared" ca="1" si="83"/>
        <v>#VALUE!</v>
      </c>
      <c r="AI232" s="185" t="e">
        <f t="shared" ca="1" si="83"/>
        <v>#VALUE!</v>
      </c>
      <c r="AJ232" s="185" t="e">
        <f t="shared" ca="1" si="83"/>
        <v>#VALUE!</v>
      </c>
      <c r="AK232" s="185" t="e">
        <f t="shared" ca="1" si="83"/>
        <v>#VALUE!</v>
      </c>
      <c r="AL232" s="185" t="e">
        <f t="shared" ca="1" si="83"/>
        <v>#VALUE!</v>
      </c>
      <c r="AM232" s="185" t="e">
        <f t="shared" ca="1" si="83"/>
        <v>#VALUE!</v>
      </c>
      <c r="AN232" s="185" t="e">
        <f t="shared" ca="1" si="83"/>
        <v>#VALUE!</v>
      </c>
      <c r="AO232" s="185" t="e">
        <f t="shared" ca="1" si="83"/>
        <v>#VALUE!</v>
      </c>
      <c r="AP232" s="185" t="e">
        <f t="shared" ca="1" si="83"/>
        <v>#VALUE!</v>
      </c>
    </row>
    <row r="233" spans="1:42">
      <c r="A233" s="57" t="str">
        <f>'[4]TS BYDem'!A172</f>
        <v/>
      </c>
      <c r="B233" s="185" t="s">
        <v>288</v>
      </c>
      <c r="C233" s="185" t="s">
        <v>137</v>
      </c>
      <c r="D233" s="185" t="str">
        <f>'[4]TS BYDem'!D172</f>
        <v>IOTK</v>
      </c>
      <c r="E233" s="185" t="s">
        <v>137</v>
      </c>
      <c r="F233" s="185" t="s">
        <v>137</v>
      </c>
      <c r="G233" s="185" t="s">
        <v>137</v>
      </c>
      <c r="H233" s="185" t="s">
        <v>137</v>
      </c>
      <c r="I233" s="185">
        <v>0</v>
      </c>
      <c r="J233" s="185">
        <f>INDEX('[4]TS BYDem'!$J$10:$J$203,MATCH(D233,'[4]TS BYDem'!$D$10:$D$203,0))</f>
        <v>4.0241553496851505</v>
      </c>
      <c r="K233" s="185">
        <f t="shared" ca="1" si="82"/>
        <v>4.1289030027364033</v>
      </c>
      <c r="L233" s="185">
        <f t="shared" ca="1" si="82"/>
        <v>4.1975955908711562</v>
      </c>
      <c r="M233" s="192">
        <f t="shared" ref="M233:M241" si="84">O233</f>
        <v>2.1816720000000003</v>
      </c>
      <c r="N233" s="192">
        <f t="shared" ref="N233:N241" si="85">O233</f>
        <v>2.1816720000000003</v>
      </c>
      <c r="O233" s="192">
        <f>INDEX('[4]TS BYDem'!$O$10:$O$203,MATCH(D233,'[4]TS BYDem'!$D$10:$D$203,0))</f>
        <v>2.1816720000000003</v>
      </c>
      <c r="P233" s="185">
        <f t="shared" ca="1" si="82"/>
        <v>2.2006776165359949</v>
      </c>
      <c r="Q233" s="185">
        <f t="shared" ca="1" si="82"/>
        <v>2.2000728923734858</v>
      </c>
      <c r="R233" s="185">
        <f t="shared" ca="1" si="82"/>
        <v>1.9890241596578764</v>
      </c>
      <c r="S233" s="185">
        <f t="shared" ca="1" si="82"/>
        <v>2.0447451717747684</v>
      </c>
      <c r="T233" s="185">
        <f t="shared" ca="1" si="82"/>
        <v>2.0957147797576621</v>
      </c>
      <c r="U233" s="185">
        <f t="shared" ca="1" si="82"/>
        <v>2.1453021610833929</v>
      </c>
      <c r="V233" s="185">
        <f t="shared" ca="1" si="82"/>
        <v>2.192816202423379</v>
      </c>
      <c r="W233" s="185">
        <f t="shared" ca="1" si="82"/>
        <v>2.2427491404134003</v>
      </c>
      <c r="X233" s="185">
        <f t="shared" ca="1" si="82"/>
        <v>2.3058996208125451</v>
      </c>
      <c r="Y233" s="185">
        <f t="shared" ca="1" si="82"/>
        <v>2.3681862095509625</v>
      </c>
      <c r="Z233" s="185">
        <f t="shared" ca="1" si="82"/>
        <v>2.4329780841054887</v>
      </c>
      <c r="AA233" s="185">
        <f t="shared" ca="1" si="83"/>
        <v>2.4986338503207417</v>
      </c>
      <c r="AB233" s="185">
        <f t="shared" ca="1" si="83"/>
        <v>2.5659310106913757</v>
      </c>
      <c r="AC233" s="185">
        <f t="shared" ca="1" si="83"/>
        <v>2.6403984718460443</v>
      </c>
      <c r="AD233" s="185">
        <f t="shared" ca="1" si="83"/>
        <v>2.7118423121881685</v>
      </c>
      <c r="AE233" s="185">
        <f t="shared" ca="1" si="83"/>
        <v>2.79088839914469</v>
      </c>
      <c r="AF233" s="185">
        <f t="shared" ca="1" si="83"/>
        <v>2.87563617106201</v>
      </c>
      <c r="AG233" s="185">
        <f t="shared" ca="1" si="83"/>
        <v>2.9654809037776193</v>
      </c>
      <c r="AH233" s="185">
        <f t="shared" ca="1" si="83"/>
        <v>3.0589539814682825</v>
      </c>
      <c r="AI233" s="185">
        <f t="shared" ca="1" si="83"/>
        <v>3.1557962366357808</v>
      </c>
      <c r="AJ233" s="185">
        <f t="shared" ca="1" si="83"/>
        <v>3.2535887726300783</v>
      </c>
      <c r="AK233" s="185">
        <f t="shared" ca="1" si="83"/>
        <v>3.35500965359943</v>
      </c>
      <c r="AL233" s="185">
        <f t="shared" ca="1" si="83"/>
        <v>3.462391387027798</v>
      </c>
      <c r="AM233" s="185">
        <f t="shared" ca="1" si="83"/>
        <v>4.0580446870990743</v>
      </c>
      <c r="AN233" s="185">
        <f t="shared" ca="1" si="83"/>
        <v>4.8094576535994307</v>
      </c>
      <c r="AO233" s="185">
        <f t="shared" ca="1" si="83"/>
        <v>6.1305639757662203</v>
      </c>
      <c r="AP233" s="185">
        <f t="shared" ca="1" si="83"/>
        <v>7.477630242337824</v>
      </c>
    </row>
    <row r="234" spans="1:42">
      <c r="A234" s="57" t="str">
        <f>'[4]TS BYDem'!A173</f>
        <v/>
      </c>
      <c r="B234" s="185" t="s">
        <v>288</v>
      </c>
      <c r="C234" s="185" t="s">
        <v>137</v>
      </c>
      <c r="D234" s="185" t="str">
        <f>'[4]TS BYDem'!D173</f>
        <v>IOTA</v>
      </c>
      <c r="E234" s="185" t="s">
        <v>137</v>
      </c>
      <c r="F234" s="185" t="s">
        <v>137</v>
      </c>
      <c r="G234" s="185" t="s">
        <v>137</v>
      </c>
      <c r="H234" s="185" t="s">
        <v>137</v>
      </c>
      <c r="I234" s="185">
        <v>0</v>
      </c>
      <c r="J234" s="185">
        <f>INDEX('[4]TS BYDem'!$J$10:$J$203,MATCH(D234,'[4]TS BYDem'!$D$10:$D$203,0))</f>
        <v>0.22789646617646991</v>
      </c>
      <c r="K234" s="185">
        <f t="shared" ca="1" si="82"/>
        <v>0.23382854828968336</v>
      </c>
      <c r="L234" s="185">
        <f t="shared" ca="1" si="82"/>
        <v>0.23771875548301416</v>
      </c>
      <c r="M234" s="192">
        <f t="shared" si="84"/>
        <v>0.12355272</v>
      </c>
      <c r="N234" s="192">
        <f t="shared" si="85"/>
        <v>0.12355272</v>
      </c>
      <c r="O234" s="192">
        <f>INDEX('[4]TS BYDem'!$O$10:$O$203,MATCH(D234,'[4]TS BYDem'!$D$10:$D$203,0))</f>
        <v>0.12355272</v>
      </c>
      <c r="P234" s="185">
        <f t="shared" ca="1" si="82"/>
        <v>0.12462904843905918</v>
      </c>
      <c r="Q234" s="185">
        <f t="shared" ca="1" si="82"/>
        <v>0.12459480162508911</v>
      </c>
      <c r="R234" s="185">
        <f t="shared" ca="1" si="82"/>
        <v>0.11264266354953673</v>
      </c>
      <c r="S234" s="185">
        <f t="shared" ca="1" si="82"/>
        <v>0.11579826283677834</v>
      </c>
      <c r="T234" s="185">
        <f t="shared" ca="1" si="82"/>
        <v>0.11868478001425517</v>
      </c>
      <c r="U234" s="185">
        <f t="shared" ca="1" si="82"/>
        <v>0.12149301875980044</v>
      </c>
      <c r="V234" s="185">
        <f t="shared" ca="1" si="82"/>
        <v>0.12418383985744835</v>
      </c>
      <c r="W234" s="185">
        <f t="shared" ca="1" si="82"/>
        <v>0.12701164821097652</v>
      </c>
      <c r="X234" s="185">
        <f t="shared" ca="1" si="82"/>
        <v>0.13058799406985036</v>
      </c>
      <c r="Y234" s="185">
        <f t="shared" ca="1" si="82"/>
        <v>0.13411541590876697</v>
      </c>
      <c r="Z234" s="185">
        <f t="shared" ca="1" si="82"/>
        <v>0.13778471740555956</v>
      </c>
      <c r="AA234" s="185">
        <f t="shared" ca="1" si="83"/>
        <v>0.14150294292230939</v>
      </c>
      <c r="AB234" s="185">
        <f t="shared" ca="1" si="83"/>
        <v>0.14531412407697794</v>
      </c>
      <c r="AC234" s="185">
        <f t="shared" ca="1" si="83"/>
        <v>0.14953137459729157</v>
      </c>
      <c r="AD234" s="185">
        <f t="shared" ca="1" si="83"/>
        <v>0.15357739104775489</v>
      </c>
      <c r="AE234" s="185">
        <f t="shared" ca="1" si="83"/>
        <v>0.15805393887384184</v>
      </c>
      <c r="AF234" s="185">
        <f t="shared" ca="1" si="83"/>
        <v>0.16285338523164652</v>
      </c>
      <c r="AG234" s="185">
        <f t="shared" ca="1" si="83"/>
        <v>0.16794148330719891</v>
      </c>
      <c r="AH234" s="185">
        <f t="shared" ca="1" si="83"/>
        <v>0.1732350622665717</v>
      </c>
      <c r="AI234" s="185">
        <f t="shared" ca="1" si="83"/>
        <v>0.1787194449037777</v>
      </c>
      <c r="AJ234" s="185">
        <f t="shared" ca="1" si="83"/>
        <v>0.18425764396293662</v>
      </c>
      <c r="AK234" s="185">
        <f t="shared" ca="1" si="83"/>
        <v>0.19000132390591598</v>
      </c>
      <c r="AL234" s="185">
        <f t="shared" ca="1" si="83"/>
        <v>0.19608257958660025</v>
      </c>
      <c r="AM234" s="185">
        <f t="shared" ca="1" si="83"/>
        <v>0.22981569134711344</v>
      </c>
      <c r="AN234" s="185">
        <f t="shared" ca="1" si="83"/>
        <v>0.27236980390591603</v>
      </c>
      <c r="AO234" s="185">
        <f t="shared" ca="1" si="83"/>
        <v>0.34718686142551713</v>
      </c>
      <c r="AP234" s="185">
        <f t="shared" ca="1" si="83"/>
        <v>0.42347408574483131</v>
      </c>
    </row>
    <row r="235" spans="1:42">
      <c r="A235" s="57" t="str">
        <f>'[4]TS BYDem'!A174</f>
        <v/>
      </c>
      <c r="B235" s="185" t="s">
        <v>288</v>
      </c>
      <c r="C235" s="185" t="s">
        <v>137</v>
      </c>
      <c r="D235" s="185" t="str">
        <f>'[4]TS BYDem'!D174</f>
        <v>IOTL</v>
      </c>
      <c r="E235" s="185" t="s">
        <v>137</v>
      </c>
      <c r="F235" s="185" t="s">
        <v>137</v>
      </c>
      <c r="G235" s="185" t="s">
        <v>137</v>
      </c>
      <c r="H235" s="185" t="s">
        <v>137</v>
      </c>
      <c r="I235" s="185">
        <v>0</v>
      </c>
      <c r="J235" s="185">
        <f>INDEX('[4]TS BYDem'!$J$10:$J$203,MATCH(D235,'[4]TS BYDem'!$D$10:$D$203,0))</f>
        <v>1.0095834302163471</v>
      </c>
      <c r="K235" s="185">
        <f t="shared" ca="1" si="82"/>
        <v>1.0358626082512781</v>
      </c>
      <c r="L235" s="185">
        <f t="shared" ca="1" si="82"/>
        <v>1.0530962617097481</v>
      </c>
      <c r="M235" s="192">
        <f t="shared" si="84"/>
        <v>0.54733968</v>
      </c>
      <c r="N235" s="192">
        <f t="shared" si="85"/>
        <v>0.54733968</v>
      </c>
      <c r="O235" s="192">
        <f>INDEX('[4]TS BYDem'!$O$10:$O$203,MATCH(D235,'[4]TS BYDem'!$D$10:$D$203,0))</f>
        <v>0.54733968</v>
      </c>
      <c r="P235" s="185">
        <f t="shared" ca="1" si="82"/>
        <v>0.55210782483250187</v>
      </c>
      <c r="Q235" s="185">
        <f t="shared" ca="1" si="82"/>
        <v>0.55195611113328591</v>
      </c>
      <c r="R235" s="185">
        <f t="shared" ca="1" si="82"/>
        <v>0.49900803010691386</v>
      </c>
      <c r="S235" s="185">
        <f t="shared" ca="1" si="82"/>
        <v>0.5129873638203849</v>
      </c>
      <c r="T235" s="185">
        <f t="shared" ca="1" si="82"/>
        <v>0.52577466132573059</v>
      </c>
      <c r="U235" s="185">
        <f t="shared" ca="1" si="82"/>
        <v>0.5382151846614398</v>
      </c>
      <c r="V235" s="185">
        <f t="shared" ca="1" si="82"/>
        <v>0.55013554674269427</v>
      </c>
      <c r="W235" s="185">
        <f t="shared" ca="1" si="82"/>
        <v>0.56266276362081258</v>
      </c>
      <c r="X235" s="185">
        <f t="shared" ca="1" si="82"/>
        <v>0.5785060084960798</v>
      </c>
      <c r="Y235" s="185">
        <f t="shared" ca="1" si="82"/>
        <v>0.5941325195153242</v>
      </c>
      <c r="Z235" s="185">
        <f t="shared" ca="1" si="82"/>
        <v>0.61038755871703487</v>
      </c>
      <c r="AA235" s="185">
        <f t="shared" ca="1" si="83"/>
        <v>0.62685933177476827</v>
      </c>
      <c r="AB235" s="185">
        <f t="shared" ca="1" si="83"/>
        <v>0.643742899158945</v>
      </c>
      <c r="AC235" s="185">
        <f t="shared" ca="1" si="83"/>
        <v>0.66242535754811105</v>
      </c>
      <c r="AD235" s="185">
        <f t="shared" ca="1" si="83"/>
        <v>0.6803492474411974</v>
      </c>
      <c r="AE235" s="185">
        <f t="shared" ca="1" si="83"/>
        <v>0.70018039526728437</v>
      </c>
      <c r="AF235" s="185">
        <f t="shared" ca="1" si="83"/>
        <v>0.72144198654312175</v>
      </c>
      <c r="AG235" s="185">
        <f t="shared" ca="1" si="83"/>
        <v>0.74398230756949379</v>
      </c>
      <c r="AH235" s="185">
        <f t="shared" ca="1" si="83"/>
        <v>0.76743291079116172</v>
      </c>
      <c r="AI235" s="185">
        <f t="shared" ca="1" si="83"/>
        <v>0.79172877605131853</v>
      </c>
      <c r="AJ235" s="185">
        <f t="shared" ca="1" si="83"/>
        <v>0.81626304855310039</v>
      </c>
      <c r="AK235" s="185">
        <f t="shared" ca="1" si="83"/>
        <v>0.84170760325017813</v>
      </c>
      <c r="AL235" s="185">
        <f t="shared" ca="1" si="83"/>
        <v>0.86864762155381325</v>
      </c>
      <c r="AM235" s="185">
        <f t="shared" ca="1" si="83"/>
        <v>1.0180856152815396</v>
      </c>
      <c r="AN235" s="185">
        <f t="shared" ca="1" si="83"/>
        <v>1.2066007232501783</v>
      </c>
      <c r="AO235" s="185">
        <f t="shared" ca="1" si="83"/>
        <v>1.5380409725730588</v>
      </c>
      <c r="AP235" s="185">
        <f t="shared" ca="1" si="83"/>
        <v>1.8759940742694166</v>
      </c>
    </row>
    <row r="236" spans="1:42">
      <c r="A236" s="57" t="str">
        <f>'[4]TS BYDem'!A175</f>
        <v/>
      </c>
      <c r="B236" s="185" t="s">
        <v>288</v>
      </c>
      <c r="C236" s="185" t="s">
        <v>137</v>
      </c>
      <c r="D236" s="185" t="str">
        <f>'[4]TS BYDem'!D175</f>
        <v>IOTC</v>
      </c>
      <c r="E236" s="185" t="s">
        <v>137</v>
      </c>
      <c r="F236" s="185" t="s">
        <v>137</v>
      </c>
      <c r="G236" s="185" t="s">
        <v>137</v>
      </c>
      <c r="H236" s="185" t="s">
        <v>137</v>
      </c>
      <c r="I236" s="185">
        <v>0</v>
      </c>
      <c r="J236" s="185">
        <f>INDEX('[4]TS BYDem'!$J$10:$J$203,MATCH(D236,'[4]TS BYDem'!$D$10:$D$203,0))</f>
        <v>4.2868722274366169</v>
      </c>
      <c r="K236" s="185">
        <f t="shared" ca="1" si="82"/>
        <v>4.3984583283036507</v>
      </c>
      <c r="L236" s="185">
        <f t="shared" ca="1" si="82"/>
        <v>4.4716355102751804</v>
      </c>
      <c r="M236" s="192">
        <f t="shared" si="84"/>
        <v>2.3241024000000006</v>
      </c>
      <c r="N236" s="192">
        <f t="shared" si="85"/>
        <v>2.3241024000000006</v>
      </c>
      <c r="O236" s="192">
        <f>INDEX('[4]TS BYDem'!$O$10:$O$203,MATCH(D236,'[4]TS BYDem'!$D$10:$D$203,0))</f>
        <v>2.3241024000000006</v>
      </c>
      <c r="P236" s="185">
        <f t="shared" ca="1" si="82"/>
        <v>2.3443487977191744</v>
      </c>
      <c r="Q236" s="185">
        <f t="shared" ca="1" si="82"/>
        <v>2.3437045941553825</v>
      </c>
      <c r="R236" s="185">
        <f t="shared" ca="1" si="82"/>
        <v>2.1188775503920181</v>
      </c>
      <c r="S236" s="185">
        <f t="shared" ca="1" si="82"/>
        <v>2.1782363073414119</v>
      </c>
      <c r="T236" s="185">
        <f t="shared" ca="1" si="82"/>
        <v>2.2325334648610125</v>
      </c>
      <c r="U236" s="185">
        <f t="shared" ca="1" si="82"/>
        <v>2.2853581570919466</v>
      </c>
      <c r="V236" s="185">
        <f t="shared" ca="1" si="82"/>
        <v>2.33597415138988</v>
      </c>
      <c r="W236" s="185">
        <f t="shared" ca="1" si="82"/>
        <v>2.3891669599429806</v>
      </c>
      <c r="X236" s="185">
        <f t="shared" ca="1" si="82"/>
        <v>2.4564402178189604</v>
      </c>
      <c r="Y236" s="185">
        <f t="shared" ca="1" si="82"/>
        <v>2.5227931848895233</v>
      </c>
      <c r="Z236" s="185">
        <f t="shared" ca="1" si="82"/>
        <v>2.5918149952957958</v>
      </c>
      <c r="AA236" s="185">
        <f t="shared" ca="1" si="83"/>
        <v>2.6617570965074853</v>
      </c>
      <c r="AB236" s="185">
        <f t="shared" ca="1" si="83"/>
        <v>2.7334477502494665</v>
      </c>
      <c r="AC236" s="185">
        <f t="shared" ca="1" si="83"/>
        <v>2.8127768176764087</v>
      </c>
      <c r="AD236" s="185">
        <f t="shared" ca="1" si="83"/>
        <v>2.8888848672843919</v>
      </c>
      <c r="AE236" s="185">
        <f t="shared" ca="1" si="83"/>
        <v>2.973091475980044</v>
      </c>
      <c r="AF236" s="185">
        <f t="shared" ca="1" si="83"/>
        <v>3.0633720039914478</v>
      </c>
      <c r="AG236" s="185">
        <f t="shared" ca="1" si="83"/>
        <v>3.1590822477548119</v>
      </c>
      <c r="AH236" s="185">
        <f t="shared" ca="1" si="83"/>
        <v>3.2586577129009275</v>
      </c>
      <c r="AI236" s="185">
        <f t="shared" ca="1" si="83"/>
        <v>3.3618223121881696</v>
      </c>
      <c r="AJ236" s="185">
        <f t="shared" ca="1" si="83"/>
        <v>3.4659992313613697</v>
      </c>
      <c r="AK236" s="185">
        <f t="shared" ca="1" si="83"/>
        <v>3.5740413719173216</v>
      </c>
      <c r="AL236" s="185">
        <f t="shared" ca="1" si="83"/>
        <v>3.6884335190306508</v>
      </c>
      <c r="AM236" s="185">
        <f t="shared" ca="1" si="83"/>
        <v>4.3229740293656471</v>
      </c>
      <c r="AN236" s="185">
        <f t="shared" ca="1" si="83"/>
        <v>5.1234429719173225</v>
      </c>
      <c r="AO236" s="185">
        <f t="shared" ca="1" si="83"/>
        <v>6.5307976861012191</v>
      </c>
      <c r="AP236" s="185">
        <f t="shared" ca="1" si="83"/>
        <v>7.9658071389878602</v>
      </c>
    </row>
    <row r="237" spans="1:42">
      <c r="A237" s="57" t="str">
        <f>'[4]TS BYDem'!A176</f>
        <v/>
      </c>
      <c r="B237" s="185" t="s">
        <v>288</v>
      </c>
      <c r="C237" s="185" t="s">
        <v>137</v>
      </c>
      <c r="D237" s="185" t="str">
        <f>'[4]TS BYDem'!D176</f>
        <v>IOTH</v>
      </c>
      <c r="E237" s="185" t="s">
        <v>137</v>
      </c>
      <c r="F237" s="185" t="s">
        <v>137</v>
      </c>
      <c r="G237" s="185" t="s">
        <v>137</v>
      </c>
      <c r="H237" s="185" t="s">
        <v>137</v>
      </c>
      <c r="I237" s="185">
        <v>0</v>
      </c>
      <c r="J237" s="185">
        <f>INDEX('[4]TS BYDem'!$J$10:$J$203,MATCH(D237,'[4]TS BYDem'!$D$10:$D$203,0))</f>
        <v>3.1863804172999206</v>
      </c>
      <c r="K237" s="185">
        <f t="shared" ca="1" si="82"/>
        <v>3.269321020094182</v>
      </c>
      <c r="L237" s="185">
        <f t="shared" ca="1" si="82"/>
        <v>3.3237127367716583</v>
      </c>
      <c r="M237" s="192">
        <f t="shared" si="84"/>
        <v>1.7274772800000002</v>
      </c>
      <c r="N237" s="192">
        <f t="shared" si="85"/>
        <v>1.7274772800000002</v>
      </c>
      <c r="O237" s="192">
        <f>INDEX('[4]TS BYDem'!$O$10:$O$203,MATCH(D237,'[4]TS BYDem'!$D$10:$D$203,0))</f>
        <v>1.7274772800000002</v>
      </c>
      <c r="P237" s="185">
        <f t="shared" ca="1" si="82"/>
        <v>1.7425261832074133</v>
      </c>
      <c r="Q237" s="185">
        <f t="shared" ca="1" si="82"/>
        <v>1.7420473544689956</v>
      </c>
      <c r="R237" s="185">
        <f t="shared" ca="1" si="82"/>
        <v>1.5749361247612266</v>
      </c>
      <c r="S237" s="185">
        <f t="shared" ca="1" si="82"/>
        <v>1.6190567728011409</v>
      </c>
      <c r="T237" s="185">
        <f t="shared" ca="1" si="82"/>
        <v>1.6594151950392022</v>
      </c>
      <c r="U237" s="185">
        <f t="shared" ca="1" si="82"/>
        <v>1.6986791515894519</v>
      </c>
      <c r="V237" s="185">
        <f t="shared" ca="1" si="82"/>
        <v>1.7363014096079838</v>
      </c>
      <c r="W237" s="185">
        <f t="shared" ca="1" si="82"/>
        <v>1.7758389825801864</v>
      </c>
      <c r="X237" s="185">
        <f t="shared" ca="1" si="82"/>
        <v>1.8258423836920894</v>
      </c>
      <c r="Y237" s="185">
        <f t="shared" ca="1" si="82"/>
        <v>1.8751617437491099</v>
      </c>
      <c r="Z237" s="185">
        <f t="shared" ca="1" si="82"/>
        <v>1.9264648228652896</v>
      </c>
      <c r="AA237" s="185">
        <f t="shared" ca="1" si="83"/>
        <v>1.9784519430363516</v>
      </c>
      <c r="AB237" s="185">
        <f t="shared" ca="1" si="83"/>
        <v>2.0317387412116901</v>
      </c>
      <c r="AC237" s="185">
        <f t="shared" ca="1" si="83"/>
        <v>2.0907030801425526</v>
      </c>
      <c r="AD237" s="185">
        <f t="shared" ca="1" si="83"/>
        <v>2.1472732753813268</v>
      </c>
      <c r="AE237" s="185">
        <f t="shared" ca="1" si="83"/>
        <v>2.2098630319030659</v>
      </c>
      <c r="AF237" s="185">
        <f t="shared" ca="1" si="83"/>
        <v>2.2769674593870288</v>
      </c>
      <c r="AG237" s="185">
        <f t="shared" ca="1" si="83"/>
        <v>2.348107729094798</v>
      </c>
      <c r="AH237" s="185">
        <f t="shared" ca="1" si="83"/>
        <v>2.4221209712330736</v>
      </c>
      <c r="AI237" s="185">
        <f t="shared" ca="1" si="83"/>
        <v>2.4988019734853903</v>
      </c>
      <c r="AJ237" s="185">
        <f t="shared" ca="1" si="83"/>
        <v>2.5762354208980773</v>
      </c>
      <c r="AK237" s="185">
        <f t="shared" ca="1" si="83"/>
        <v>2.6565418407412706</v>
      </c>
      <c r="AL237" s="185">
        <f t="shared" ca="1" si="83"/>
        <v>2.7415681438631525</v>
      </c>
      <c r="AM237" s="185">
        <f t="shared" ca="1" si="83"/>
        <v>3.2132144512045642</v>
      </c>
      <c r="AN237" s="185">
        <f t="shared" ca="1" si="83"/>
        <v>3.8081933607412717</v>
      </c>
      <c r="AO237" s="185">
        <f t="shared" ca="1" si="83"/>
        <v>4.8542631439201775</v>
      </c>
      <c r="AP237" s="185">
        <f t="shared" ca="1" si="83"/>
        <v>5.9208883607982736</v>
      </c>
    </row>
    <row r="238" spans="1:42">
      <c r="A238" s="57" t="str">
        <f>'[4]TS BYDem'!A177</f>
        <v/>
      </c>
      <c r="B238" s="185" t="s">
        <v>288</v>
      </c>
      <c r="C238" s="185" t="s">
        <v>137</v>
      </c>
      <c r="D238" s="185" t="str">
        <f>'[4]TS BYDem'!D177</f>
        <v>IOTP</v>
      </c>
      <c r="E238" s="185" t="s">
        <v>137</v>
      </c>
      <c r="F238" s="185" t="s">
        <v>137</v>
      </c>
      <c r="G238" s="185" t="s">
        <v>137</v>
      </c>
      <c r="H238" s="185" t="s">
        <v>137</v>
      </c>
      <c r="I238" s="185">
        <v>0</v>
      </c>
      <c r="J238" s="185">
        <f>INDEX('[4]TS BYDem'!$J$10:$J$203,MATCH(D238,'[4]TS BYDem'!$D$10:$D$203,0))</f>
        <v>4.3369135374845138</v>
      </c>
      <c r="K238" s="185">
        <f t="shared" ca="1" si="82"/>
        <v>4.4498021998402679</v>
      </c>
      <c r="L238" s="185">
        <f t="shared" ca="1" si="82"/>
        <v>4.5238335901616598</v>
      </c>
      <c r="M238" s="192">
        <f t="shared" si="84"/>
        <v>2.3512320000000004</v>
      </c>
      <c r="N238" s="192">
        <f t="shared" si="85"/>
        <v>2.3512320000000004</v>
      </c>
      <c r="O238" s="192">
        <f>INDEX('[4]TS BYDem'!$O$10:$O$203,MATCH(D238,'[4]TS BYDem'!$D$10:$D$203,0))</f>
        <v>2.3512320000000004</v>
      </c>
      <c r="P238" s="185">
        <f t="shared" ca="1" si="82"/>
        <v>2.3717147369921605</v>
      </c>
      <c r="Q238" s="185">
        <f t="shared" ca="1" si="82"/>
        <v>2.3710630135424098</v>
      </c>
      <c r="R238" s="185">
        <f t="shared" ca="1" si="82"/>
        <v>2.1436115295794731</v>
      </c>
      <c r="S238" s="185">
        <f t="shared" ca="1" si="82"/>
        <v>2.2036631903064863</v>
      </c>
      <c r="T238" s="185">
        <f t="shared" ca="1" si="82"/>
        <v>2.2585941667854597</v>
      </c>
      <c r="U238" s="185">
        <f t="shared" ca="1" si="82"/>
        <v>2.3120354896650039</v>
      </c>
      <c r="V238" s="185">
        <f t="shared" ca="1" si="82"/>
        <v>2.3632423321454032</v>
      </c>
      <c r="W238" s="185">
        <f t="shared" ca="1" si="82"/>
        <v>2.4170560684248046</v>
      </c>
      <c r="X238" s="185">
        <f t="shared" ca="1" si="82"/>
        <v>2.4851146172487533</v>
      </c>
      <c r="Y238" s="185">
        <f t="shared" ca="1" si="82"/>
        <v>2.552242132573058</v>
      </c>
      <c r="Z238" s="185">
        <f t="shared" ca="1" si="82"/>
        <v>2.6220696450463299</v>
      </c>
      <c r="AA238" s="185">
        <f t="shared" ca="1" si="83"/>
        <v>2.6928281910192449</v>
      </c>
      <c r="AB238" s="185">
        <f t="shared" ca="1" si="83"/>
        <v>2.7653557006414826</v>
      </c>
      <c r="AC238" s="185">
        <f t="shared" ca="1" si="83"/>
        <v>2.8456107883107631</v>
      </c>
      <c r="AD238" s="185">
        <f t="shared" ca="1" si="83"/>
        <v>2.9226072587312908</v>
      </c>
      <c r="AE238" s="185">
        <f t="shared" ca="1" si="83"/>
        <v>3.0077968239486821</v>
      </c>
      <c r="AF238" s="185">
        <f t="shared" ca="1" si="83"/>
        <v>3.099131210263721</v>
      </c>
      <c r="AG238" s="185">
        <f t="shared" ca="1" si="83"/>
        <v>3.1959586942266576</v>
      </c>
      <c r="AH238" s="185">
        <f t="shared" ca="1" si="83"/>
        <v>3.2966965188880977</v>
      </c>
      <c r="AI238" s="185">
        <f t="shared" ca="1" si="83"/>
        <v>3.401065374198148</v>
      </c>
      <c r="AJ238" s="185">
        <f t="shared" ca="1" si="83"/>
        <v>3.5064583663578057</v>
      </c>
      <c r="AK238" s="185">
        <f t="shared" ca="1" si="83"/>
        <v>3.6157616992159674</v>
      </c>
      <c r="AL238" s="185">
        <f t="shared" ca="1" si="83"/>
        <v>3.7314891632216698</v>
      </c>
      <c r="AM238" s="185">
        <f t="shared" ca="1" si="83"/>
        <v>4.373436761225947</v>
      </c>
      <c r="AN238" s="185">
        <f t="shared" ca="1" si="83"/>
        <v>5.1832496992159687</v>
      </c>
      <c r="AO238" s="185">
        <f t="shared" ca="1" si="83"/>
        <v>6.6070326785459805</v>
      </c>
      <c r="AP238" s="185">
        <f t="shared" ca="1" si="83"/>
        <v>8.0587932145402483</v>
      </c>
    </row>
    <row r="239" spans="1:42">
      <c r="A239" s="57" t="str">
        <f>'[4]TS BYDem'!A178</f>
        <v/>
      </c>
      <c r="B239" s="185" t="s">
        <v>288</v>
      </c>
      <c r="C239" s="185" t="s">
        <v>137</v>
      </c>
      <c r="D239" s="185" t="str">
        <f>'[4]TS BYDem'!D178</f>
        <v>IOTF</v>
      </c>
      <c r="E239" s="185" t="s">
        <v>137</v>
      </c>
      <c r="F239" s="185" t="s">
        <v>137</v>
      </c>
      <c r="G239" s="185" t="s">
        <v>137</v>
      </c>
      <c r="H239" s="185" t="s">
        <v>137</v>
      </c>
      <c r="I239" s="185">
        <v>0</v>
      </c>
      <c r="J239" s="185">
        <f>INDEX('[4]TS BYDem'!$J$10:$J$203,MATCH(D239,'[4]TS BYDem'!$D$10:$D$203,0))</f>
        <v>1.8465243407674456</v>
      </c>
      <c r="K239" s="185">
        <f t="shared" ca="1" si="82"/>
        <v>1.8945888597012226</v>
      </c>
      <c r="L239" s="185">
        <f t="shared" ca="1" si="82"/>
        <v>1.9261091478111381</v>
      </c>
      <c r="M239" s="192">
        <f t="shared" si="84"/>
        <v>1.0010822400000001</v>
      </c>
      <c r="N239" s="192">
        <f t="shared" si="85"/>
        <v>1.0010822400000001</v>
      </c>
      <c r="O239" s="192">
        <f>INDEX('[4]TS BYDem'!$O$10:$O$203,MATCH(D239,'[4]TS BYDem'!$D$10:$D$203,0))</f>
        <v>1.0010822400000001</v>
      </c>
      <c r="P239" s="185">
        <f t="shared" ca="1" si="82"/>
        <v>1.0098031591732006</v>
      </c>
      <c r="Q239" s="185">
        <f t="shared" ca="1" si="82"/>
        <v>1.009525675381326</v>
      </c>
      <c r="R239" s="185">
        <f t="shared" ca="1" si="82"/>
        <v>0.91268383201710646</v>
      </c>
      <c r="S239" s="185">
        <f t="shared" ca="1" si="82"/>
        <v>0.93825198141126176</v>
      </c>
      <c r="T239" s="185">
        <f t="shared" ca="1" si="82"/>
        <v>0.96163990101211705</v>
      </c>
      <c r="U239" s="185">
        <f t="shared" ca="1" si="82"/>
        <v>0.98439357194583066</v>
      </c>
      <c r="V239" s="185">
        <f t="shared" ca="1" si="82"/>
        <v>1.0061958698788316</v>
      </c>
      <c r="W239" s="185">
        <f t="shared" ca="1" si="82"/>
        <v>1.0291081029793305</v>
      </c>
      <c r="X239" s="185">
        <f t="shared" ca="1" si="82"/>
        <v>1.0580853389593732</v>
      </c>
      <c r="Y239" s="185">
        <f t="shared" ca="1" si="82"/>
        <v>1.0866661695224522</v>
      </c>
      <c r="Z239" s="185">
        <f t="shared" ca="1" si="82"/>
        <v>1.1163965757947261</v>
      </c>
      <c r="AA239" s="185">
        <f t="shared" ca="1" si="83"/>
        <v>1.1465233874839633</v>
      </c>
      <c r="AB239" s="185">
        <f t="shared" ca="1" si="83"/>
        <v>1.1774033694654316</v>
      </c>
      <c r="AC239" s="185">
        <f t="shared" ca="1" si="83"/>
        <v>1.2115735164076982</v>
      </c>
      <c r="AD239" s="185">
        <f t="shared" ca="1" si="83"/>
        <v>1.2443562443905922</v>
      </c>
      <c r="AE239" s="185">
        <f t="shared" ca="1" si="83"/>
        <v>1.2806273400427661</v>
      </c>
      <c r="AF239" s="185">
        <f t="shared" ca="1" si="83"/>
        <v>1.3195147114469001</v>
      </c>
      <c r="AG239" s="185">
        <f t="shared" ca="1" si="83"/>
        <v>1.3607408748111196</v>
      </c>
      <c r="AH239" s="185">
        <f t="shared" ca="1" si="83"/>
        <v>1.4036319409265865</v>
      </c>
      <c r="AI239" s="185">
        <f t="shared" ca="1" si="83"/>
        <v>1.4480689881682116</v>
      </c>
      <c r="AJ239" s="185">
        <f t="shared" ca="1" si="83"/>
        <v>1.4929420813684966</v>
      </c>
      <c r="AK239" s="185">
        <f t="shared" ca="1" si="83"/>
        <v>1.5394800773200292</v>
      </c>
      <c r="AL239" s="185">
        <f t="shared" ca="1" si="83"/>
        <v>1.5887532706486109</v>
      </c>
      <c r="AM239" s="185">
        <f t="shared" ca="1" si="83"/>
        <v>1.8620748056450473</v>
      </c>
      <c r="AN239" s="185">
        <f t="shared" ca="1" si="83"/>
        <v>2.2068682373200299</v>
      </c>
      <c r="AO239" s="185">
        <f t="shared" ca="1" si="83"/>
        <v>2.8130712212116928</v>
      </c>
      <c r="AP239" s="185">
        <f t="shared" ca="1" si="83"/>
        <v>3.4311861878830983</v>
      </c>
    </row>
    <row r="240" spans="1:42">
      <c r="A240" s="57" t="str">
        <f>'[4]TS BYDem'!A179</f>
        <v/>
      </c>
      <c r="B240" s="185" t="s">
        <v>288</v>
      </c>
      <c r="C240" s="185" t="s">
        <v>137</v>
      </c>
      <c r="D240" s="185" t="str">
        <f>'[4]TS BYDem'!D179</f>
        <v>IOTO</v>
      </c>
      <c r="E240" s="185" t="s">
        <v>137</v>
      </c>
      <c r="F240" s="185" t="s">
        <v>137</v>
      </c>
      <c r="G240" s="185" t="s">
        <v>137</v>
      </c>
      <c r="H240" s="185" t="s">
        <v>137</v>
      </c>
      <c r="I240" s="185">
        <v>0</v>
      </c>
      <c r="J240" s="185">
        <f>INDEX('[4]TS BYDem'!$J$10:$J$203,MATCH(D240,'[4]TS BYDem'!$D$10:$D$203,0))</f>
        <v>12.304490923310874</v>
      </c>
      <c r="K240" s="185">
        <f t="shared" ca="1" si="82"/>
        <v>12.624773425900665</v>
      </c>
      <c r="L240" s="185">
        <f t="shared" ca="1" si="82"/>
        <v>12.834811869687117</v>
      </c>
      <c r="M240" s="192">
        <f t="shared" si="84"/>
        <v>6.6708069120000006</v>
      </c>
      <c r="N240" s="192">
        <f t="shared" si="85"/>
        <v>6.6708069120000006</v>
      </c>
      <c r="O240" s="192">
        <f>INDEX('[4]TS BYDem'!$O$10:$O$203,MATCH(D240,'[4]TS BYDem'!$D$10:$D$203,0))</f>
        <v>6.6708069120000006</v>
      </c>
      <c r="P240" s="185">
        <f t="shared" ca="1" si="82"/>
        <v>6.7289195880370656</v>
      </c>
      <c r="Q240" s="185">
        <f t="shared" ca="1" si="82"/>
        <v>6.7270705483449769</v>
      </c>
      <c r="R240" s="185">
        <f t="shared" ca="1" si="82"/>
        <v>6.0817556958061312</v>
      </c>
      <c r="S240" s="185">
        <f t="shared" ca="1" si="82"/>
        <v>6.2521314960057026</v>
      </c>
      <c r="T240" s="185">
        <f t="shared" ca="1" si="82"/>
        <v>6.4079791271960085</v>
      </c>
      <c r="U240" s="185">
        <f t="shared" ca="1" si="82"/>
        <v>6.5596003819472566</v>
      </c>
      <c r="V240" s="185">
        <f t="shared" ca="1" si="82"/>
        <v>6.7048820720399158</v>
      </c>
      <c r="W240" s="185">
        <f t="shared" ca="1" si="82"/>
        <v>6.8575599209009281</v>
      </c>
      <c r="X240" s="185">
        <f t="shared" ca="1" si="82"/>
        <v>7.0506524944604427</v>
      </c>
      <c r="Y240" s="185">
        <f t="shared" ca="1" si="82"/>
        <v>7.241103582745545</v>
      </c>
      <c r="Z240" s="185">
        <f t="shared" ca="1" si="82"/>
        <v>7.4392149783264436</v>
      </c>
      <c r="AA240" s="185">
        <f t="shared" ca="1" si="83"/>
        <v>7.6399678591817537</v>
      </c>
      <c r="AB240" s="185">
        <f t="shared" ca="1" si="83"/>
        <v>7.845739562058446</v>
      </c>
      <c r="AC240" s="185">
        <f t="shared" ca="1" si="83"/>
        <v>8.0734355927127588</v>
      </c>
      <c r="AD240" s="185">
        <f t="shared" ca="1" si="83"/>
        <v>8.2918864249066306</v>
      </c>
      <c r="AE240" s="185">
        <f t="shared" ca="1" si="83"/>
        <v>8.533582327515326</v>
      </c>
      <c r="AF240" s="185">
        <f t="shared" ca="1" si="83"/>
        <v>8.7927120329351407</v>
      </c>
      <c r="AG240" s="185">
        <f t="shared" ca="1" si="83"/>
        <v>9.0674265014739852</v>
      </c>
      <c r="AH240" s="185">
        <f t="shared" ca="1" si="83"/>
        <v>9.353235208165362</v>
      </c>
      <c r="AI240" s="185">
        <f t="shared" ca="1" si="83"/>
        <v>9.6493457074269458</v>
      </c>
      <c r="AJ240" s="185">
        <f t="shared" ca="1" si="83"/>
        <v>9.9483618404903797</v>
      </c>
      <c r="AK240" s="185">
        <f t="shared" ca="1" si="83"/>
        <v>10.258472211706346</v>
      </c>
      <c r="AL240" s="185">
        <f t="shared" ca="1" si="83"/>
        <v>10.586808831315755</v>
      </c>
      <c r="AM240" s="185">
        <f t="shared" ca="1" si="83"/>
        <v>12.408112928022812</v>
      </c>
      <c r="AN240" s="185">
        <f t="shared" ca="1" si="83"/>
        <v>14.705676819706348</v>
      </c>
      <c r="AO240" s="185">
        <f t="shared" ca="1" si="83"/>
        <v>18.74516817560087</v>
      </c>
      <c r="AP240" s="185">
        <f t="shared" ca="1" si="83"/>
        <v>22.864036163991376</v>
      </c>
    </row>
    <row r="241" spans="1:42">
      <c r="A241" s="57" t="str">
        <f>'[4]TS BYDem'!A180</f>
        <v/>
      </c>
      <c r="B241" s="185" t="s">
        <v>288</v>
      </c>
      <c r="C241" s="185" t="s">
        <v>137</v>
      </c>
      <c r="D241" s="185" t="str">
        <f>'[4]TS BYDem'!D180</f>
        <v>IOTE</v>
      </c>
      <c r="E241" s="185" t="s">
        <v>137</v>
      </c>
      <c r="F241" s="185" t="s">
        <v>137</v>
      </c>
      <c r="G241" s="185" t="s">
        <v>137</v>
      </c>
      <c r="H241" s="185" t="s">
        <v>137</v>
      </c>
      <c r="I241" s="185">
        <v>0</v>
      </c>
      <c r="J241" s="185">
        <f>INDEX('[4]TS BYDem'!$J$10:$J$203,MATCH(D241,'[4]TS BYDem'!$D$10:$D$203,0))</f>
        <v>0.41264064265496897</v>
      </c>
      <c r="K241" s="185">
        <f t="shared" ca="1" si="82"/>
        <v>0.42338156469095606</v>
      </c>
      <c r="L241" s="185">
        <f t="shared" ca="1" si="82"/>
        <v>0.43042536674391985</v>
      </c>
      <c r="M241" s="192">
        <f t="shared" si="84"/>
        <v>0.22371068160000002</v>
      </c>
      <c r="N241" s="192">
        <f t="shared" si="85"/>
        <v>0.22371068160000002</v>
      </c>
      <c r="O241" s="192">
        <f>INDEX('[4]TS BYDem'!$O$10:$O$203,MATCH(D241,'[4]TS BYDem'!$D$10:$D$203,0))</f>
        <v>0.22371068160000002</v>
      </c>
      <c r="P241" s="185">
        <f t="shared" ca="1" si="82"/>
        <v>0.22565953524504639</v>
      </c>
      <c r="Q241" s="185">
        <f t="shared" ca="1" si="82"/>
        <v>0.22559752626543128</v>
      </c>
      <c r="R241" s="185">
        <f t="shared" ca="1" si="82"/>
        <v>0.20395639237975771</v>
      </c>
      <c r="S241" s="185">
        <f t="shared" ca="1" si="82"/>
        <v>0.20967007693000717</v>
      </c>
      <c r="T241" s="185">
        <f t="shared" ca="1" si="82"/>
        <v>0.21489654806899502</v>
      </c>
      <c r="U241" s="185">
        <f t="shared" ca="1" si="82"/>
        <v>0.21998128439743411</v>
      </c>
      <c r="V241" s="185">
        <f t="shared" ca="1" si="82"/>
        <v>0.22485341851004997</v>
      </c>
      <c r="W241" s="185">
        <f t="shared" ca="1" si="82"/>
        <v>0.22997358854112623</v>
      </c>
      <c r="X241" s="185">
        <f t="shared" ca="1" si="82"/>
        <v>0.23644909769807562</v>
      </c>
      <c r="Y241" s="185">
        <f t="shared" ca="1" si="82"/>
        <v>0.24283602259843198</v>
      </c>
      <c r="Z241" s="185">
        <f t="shared" ca="1" si="82"/>
        <v>0.24947984184290814</v>
      </c>
      <c r="AA241" s="185">
        <f t="shared" ca="1" si="83"/>
        <v>0.2562122453439773</v>
      </c>
      <c r="AB241" s="185">
        <f t="shared" ca="1" si="83"/>
        <v>0.26311295893257314</v>
      </c>
      <c r="AC241" s="185">
        <f t="shared" ca="1" si="83"/>
        <v>0.27074892185089106</v>
      </c>
      <c r="AD241" s="185">
        <f t="shared" ca="1" si="83"/>
        <v>0.27807483987113346</v>
      </c>
      <c r="AE241" s="185">
        <f t="shared" ca="1" si="83"/>
        <v>0.28618029934939432</v>
      </c>
      <c r="AF241" s="185">
        <f t="shared" ca="1" si="83"/>
        <v>0.29487041492116906</v>
      </c>
      <c r="AG241" s="185">
        <f t="shared" ca="1" si="83"/>
        <v>0.30408317760684261</v>
      </c>
      <c r="AH241" s="185">
        <f t="shared" ca="1" si="83"/>
        <v>0.31366799417020685</v>
      </c>
      <c r="AI241" s="185">
        <f t="shared" ca="1" si="83"/>
        <v>0.32359828933428386</v>
      </c>
      <c r="AJ241" s="185">
        <f t="shared" ca="1" si="83"/>
        <v>0.33362602718061313</v>
      </c>
      <c r="AK241" s="185">
        <f t="shared" ca="1" si="83"/>
        <v>0.34402581890463313</v>
      </c>
      <c r="AL241" s="185">
        <f t="shared" ca="1" si="83"/>
        <v>0.35503684199914493</v>
      </c>
      <c r="AM241" s="185">
        <f t="shared" ca="1" si="83"/>
        <v>0.41611568692002876</v>
      </c>
      <c r="AN241" s="185">
        <f t="shared" ca="1" si="83"/>
        <v>0.49316627330463325</v>
      </c>
      <c r="AO241" s="185">
        <f t="shared" ca="1" si="83"/>
        <v>0.62863374769950187</v>
      </c>
      <c r="AP241" s="185">
        <f t="shared" ca="1" si="83"/>
        <v>0.76676317900498725</v>
      </c>
    </row>
    <row r="242" spans="1:42">
      <c r="A242" s="57" t="str">
        <f>'[4]TS BYDem'!A181</f>
        <v>*</v>
      </c>
      <c r="B242" s="185" t="s">
        <v>288</v>
      </c>
      <c r="C242" s="185" t="s">
        <v>137</v>
      </c>
      <c r="D242" s="185" t="str">
        <f>'[4]TS BYDem'!D181</f>
        <v xml:space="preserve"> </v>
      </c>
      <c r="E242" s="185" t="s">
        <v>137</v>
      </c>
      <c r="F242" s="185" t="s">
        <v>137</v>
      </c>
      <c r="G242" s="185" t="s">
        <v>137</v>
      </c>
      <c r="H242" s="185" t="s">
        <v>137</v>
      </c>
      <c r="I242" s="185">
        <v>0</v>
      </c>
      <c r="J242" s="185" t="str">
        <f>INDEX('[4]TS BYDem'!$J$10:$J$203,MATCH(D242,'[4]TS BYDem'!$D$10:$D$203,0))</f>
        <v/>
      </c>
      <c r="K242" s="185" t="e">
        <f t="shared" ca="1" si="82"/>
        <v>#VALUE!</v>
      </c>
      <c r="L242" s="185" t="e">
        <f t="shared" ca="1" si="82"/>
        <v>#VALUE!</v>
      </c>
      <c r="M242" s="185" t="e">
        <f t="shared" ca="1" si="82"/>
        <v>#VALUE!</v>
      </c>
      <c r="N242" s="185" t="e">
        <f t="shared" ca="1" si="82"/>
        <v>#VALUE!</v>
      </c>
      <c r="O242" s="185" t="e">
        <f t="shared" ca="1" si="82"/>
        <v>#VALUE!</v>
      </c>
      <c r="P242" s="185" t="e">
        <f t="shared" ca="1" si="82"/>
        <v>#VALUE!</v>
      </c>
      <c r="Q242" s="185" t="e">
        <f t="shared" ca="1" si="82"/>
        <v>#VALUE!</v>
      </c>
      <c r="R242" s="185" t="e">
        <f t="shared" ca="1" si="82"/>
        <v>#VALUE!</v>
      </c>
      <c r="S242" s="185" t="e">
        <f t="shared" ca="1" si="82"/>
        <v>#VALUE!</v>
      </c>
      <c r="T242" s="185" t="e">
        <f t="shared" ca="1" si="82"/>
        <v>#VALUE!</v>
      </c>
      <c r="U242" s="185" t="e">
        <f t="shared" ca="1" si="82"/>
        <v>#VALUE!</v>
      </c>
      <c r="V242" s="185" t="e">
        <f t="shared" ca="1" si="82"/>
        <v>#VALUE!</v>
      </c>
      <c r="W242" s="185" t="e">
        <f t="shared" ca="1" si="82"/>
        <v>#VALUE!</v>
      </c>
      <c r="X242" s="185" t="e">
        <f t="shared" ca="1" si="82"/>
        <v>#VALUE!</v>
      </c>
      <c r="Y242" s="185" t="e">
        <f t="shared" ca="1" si="82"/>
        <v>#VALUE!</v>
      </c>
      <c r="Z242" s="185" t="e">
        <f t="shared" ca="1" si="82"/>
        <v>#VALUE!</v>
      </c>
      <c r="AA242" s="185" t="e">
        <f t="shared" ca="1" si="83"/>
        <v>#VALUE!</v>
      </c>
      <c r="AB242" s="185" t="e">
        <f t="shared" ca="1" si="83"/>
        <v>#VALUE!</v>
      </c>
      <c r="AC242" s="185" t="e">
        <f t="shared" ca="1" si="83"/>
        <v>#VALUE!</v>
      </c>
      <c r="AD242" s="185" t="e">
        <f t="shared" ca="1" si="83"/>
        <v>#VALUE!</v>
      </c>
      <c r="AE242" s="185" t="e">
        <f t="shared" ca="1" si="83"/>
        <v>#VALUE!</v>
      </c>
      <c r="AF242" s="185" t="e">
        <f t="shared" ca="1" si="83"/>
        <v>#VALUE!</v>
      </c>
      <c r="AG242" s="185" t="e">
        <f t="shared" ca="1" si="83"/>
        <v>#VALUE!</v>
      </c>
      <c r="AH242" s="185" t="e">
        <f t="shared" ca="1" si="83"/>
        <v>#VALUE!</v>
      </c>
      <c r="AI242" s="185" t="e">
        <f t="shared" ca="1" si="83"/>
        <v>#VALUE!</v>
      </c>
      <c r="AJ242" s="185" t="e">
        <f t="shared" ca="1" si="83"/>
        <v>#VALUE!</v>
      </c>
      <c r="AK242" s="185" t="e">
        <f t="shared" ca="1" si="83"/>
        <v>#VALUE!</v>
      </c>
      <c r="AL242" s="185" t="e">
        <f t="shared" ca="1" si="83"/>
        <v>#VALUE!</v>
      </c>
      <c r="AM242" s="185" t="e">
        <f t="shared" ca="1" si="83"/>
        <v>#VALUE!</v>
      </c>
      <c r="AN242" s="185" t="e">
        <f t="shared" ca="1" si="83"/>
        <v>#VALUE!</v>
      </c>
      <c r="AO242" s="185" t="e">
        <f t="shared" ca="1" si="83"/>
        <v>#VALUE!</v>
      </c>
      <c r="AP242" s="185" t="e">
        <f t="shared" ca="1" si="83"/>
        <v>#VALUE!</v>
      </c>
    </row>
    <row r="243" spans="1:42">
      <c r="A243" s="57" t="str">
        <f>'[4]TS BYDem'!A182</f>
        <v/>
      </c>
      <c r="B243" s="185" t="s">
        <v>288</v>
      </c>
      <c r="C243" s="185" t="s">
        <v>137</v>
      </c>
      <c r="D243" s="185" t="str">
        <f>'[4]TS BYDem'!D182</f>
        <v>IOTS</v>
      </c>
      <c r="E243" s="185" t="s">
        <v>137</v>
      </c>
      <c r="F243" s="185" t="s">
        <v>137</v>
      </c>
      <c r="G243" s="185" t="s">
        <v>137</v>
      </c>
      <c r="H243" s="185" t="s">
        <v>137</v>
      </c>
      <c r="I243" s="185">
        <v>0</v>
      </c>
      <c r="J243" s="185">
        <f>INDEX('[4]TS BYDem'!$J$10:$J$203,MATCH(D243,'[4]TS BYDem'!$D$10:$D$203,0))</f>
        <v>73.690487252999532</v>
      </c>
      <c r="K243" s="185">
        <f t="shared" ca="1" si="82"/>
        <v>75.608630296994804</v>
      </c>
      <c r="L243" s="185">
        <f t="shared" ca="1" si="82"/>
        <v>76.866531608065117</v>
      </c>
      <c r="M243" s="192">
        <f t="shared" ref="M243" si="86">O243</f>
        <v>61.561340800000004</v>
      </c>
      <c r="N243" s="192">
        <f t="shared" ref="N243" si="87">O243</f>
        <v>61.561340800000004</v>
      </c>
      <c r="O243" s="192">
        <f>INDEX('[4]TS BYDem'!$O$10:$O$203,MATCH(D243,'[4]TS BYDem'!$D$10:$D$203,0))</f>
        <v>61.561340800000004</v>
      </c>
      <c r="P243" s="185">
        <f t="shared" ca="1" si="82"/>
        <v>62.097631881650443</v>
      </c>
      <c r="Q243" s="185">
        <f t="shared" ca="1" si="82"/>
        <v>62.080568074507021</v>
      </c>
      <c r="R243" s="185">
        <f t="shared" ca="1" si="82"/>
        <v>56.125299381452457</v>
      </c>
      <c r="S243" s="185">
        <f t="shared" ca="1" si="82"/>
        <v>57.69760732538213</v>
      </c>
      <c r="T243" s="185">
        <f t="shared" ca="1" si="82"/>
        <v>59.135842498899194</v>
      </c>
      <c r="U243" s="185">
        <f t="shared" ca="1" si="82"/>
        <v>60.535074684659875</v>
      </c>
      <c r="V243" s="185">
        <f t="shared" ca="1" si="82"/>
        <v>61.875802388785964</v>
      </c>
      <c r="W243" s="185">
        <f t="shared" ca="1" si="82"/>
        <v>63.284785321485735</v>
      </c>
      <c r="X243" s="185">
        <f t="shared" ca="1" si="82"/>
        <v>65.066734324606031</v>
      </c>
      <c r="Y243" s="185">
        <f t="shared" ca="1" si="82"/>
        <v>66.82430646037858</v>
      </c>
      <c r="Z243" s="185">
        <f t="shared" ca="1" si="82"/>
        <v>68.652571511459598</v>
      </c>
      <c r="AA243" s="185">
        <f t="shared" ca="1" si="83"/>
        <v>70.505213429888357</v>
      </c>
      <c r="AB243" s="185">
        <f t="shared" ca="1" si="83"/>
        <v>72.404171396277832</v>
      </c>
      <c r="AC243" s="185">
        <f t="shared" ca="1" si="83"/>
        <v>74.505457361653612</v>
      </c>
      <c r="AD243" s="185">
        <f t="shared" ca="1" si="83"/>
        <v>76.521424291312286</v>
      </c>
      <c r="AE243" s="185">
        <f t="shared" ca="1" si="83"/>
        <v>78.751907653631122</v>
      </c>
      <c r="AF243" s="185">
        <f t="shared" ca="1" si="83"/>
        <v>81.143278340445079</v>
      </c>
      <c r="AG243" s="185">
        <f t="shared" ca="1" si="83"/>
        <v>83.678472544610756</v>
      </c>
      <c r="AH243" s="185">
        <f t="shared" ca="1" si="83"/>
        <v>86.316049591636968</v>
      </c>
      <c r="AI243" s="185">
        <f t="shared" ca="1" si="83"/>
        <v>89.048696421319406</v>
      </c>
      <c r="AJ243" s="185">
        <f t="shared" ca="1" si="83"/>
        <v>91.808157805084349</v>
      </c>
      <c r="AK243" s="185">
        <f t="shared" ca="1" si="83"/>
        <v>94.670002031709842</v>
      </c>
      <c r="AL243" s="185">
        <f t="shared" ca="1" si="83"/>
        <v>97.700046643034796</v>
      </c>
      <c r="AM243" s="185">
        <f t="shared" ca="1" si="83"/>
        <v>114.50789667930628</v>
      </c>
      <c r="AN243" s="185">
        <f t="shared" ca="1" si="83"/>
        <v>135.71089589837655</v>
      </c>
      <c r="AO243" s="185">
        <f t="shared" ca="1" si="83"/>
        <v>172.98922028991859</v>
      </c>
      <c r="AP243" s="185">
        <f t="shared" ca="1" si="83"/>
        <v>211.00006954525952</v>
      </c>
    </row>
    <row r="244" spans="1:42">
      <c r="A244" s="57" t="str">
        <f>'[4]TS BYDem'!A183</f>
        <v>*</v>
      </c>
      <c r="B244" s="185" t="s">
        <v>288</v>
      </c>
      <c r="C244" s="185" t="s">
        <v>137</v>
      </c>
      <c r="D244" s="185" t="str">
        <f>'[4]TS BYDem'!D183</f>
        <v>IOTS</v>
      </c>
      <c r="E244" s="185" t="s">
        <v>137</v>
      </c>
      <c r="F244" s="185" t="s">
        <v>137</v>
      </c>
      <c r="G244" s="185" t="s">
        <v>137</v>
      </c>
      <c r="H244" s="185" t="s">
        <v>137</v>
      </c>
      <c r="I244" s="185">
        <v>0</v>
      </c>
      <c r="J244" s="185">
        <f>INDEX('[4]TS BYDem'!$J$10:$J$203,MATCH(D244,'[4]TS BYDem'!$D$10:$D$203,0))</f>
        <v>73.690487252999532</v>
      </c>
      <c r="K244" s="185">
        <f t="shared" ca="1" si="82"/>
        <v>75.608630296994804</v>
      </c>
      <c r="L244" s="185">
        <f t="shared" ca="1" si="82"/>
        <v>76.866531608065117</v>
      </c>
      <c r="M244" s="185">
        <f t="shared" ca="1" si="82"/>
        <v>77.748939990457714</v>
      </c>
      <c r="N244" s="185">
        <f t="shared" ca="1" si="82"/>
        <v>78.56250800259275</v>
      </c>
      <c r="O244" s="185">
        <f t="shared" ca="1" si="82"/>
        <v>79.022486840222939</v>
      </c>
      <c r="P244" s="185">
        <f t="shared" ca="1" si="82"/>
        <v>79.710890542798751</v>
      </c>
      <c r="Q244" s="185">
        <f t="shared" ca="1" si="82"/>
        <v>79.688986788625883</v>
      </c>
      <c r="R244" s="185">
        <f t="shared" ca="1" si="82"/>
        <v>72.044576582295619</v>
      </c>
      <c r="S244" s="185">
        <f t="shared" ca="1" si="82"/>
        <v>74.062851073938276</v>
      </c>
      <c r="T244" s="185">
        <f t="shared" ca="1" si="82"/>
        <v>75.909024639936987</v>
      </c>
      <c r="U244" s="185">
        <f t="shared" ca="1" si="82"/>
        <v>77.70513248211202</v>
      </c>
      <c r="V244" s="185">
        <f t="shared" ca="1" si="82"/>
        <v>79.426141738551507</v>
      </c>
      <c r="W244" s="185">
        <f t="shared" ca="1" si="82"/>
        <v>81.234766011682453</v>
      </c>
      <c r="X244" s="185">
        <f t="shared" ca="1" si="82"/>
        <v>83.52214376887747</v>
      </c>
      <c r="Y244" s="185">
        <f t="shared" ca="1" si="82"/>
        <v>85.778230448682663</v>
      </c>
      <c r="Z244" s="185">
        <f t="shared" ca="1" si="82"/>
        <v>88.125061252918329</v>
      </c>
      <c r="AA244" s="185">
        <f t="shared" ca="1" si="83"/>
        <v>90.503183134543789</v>
      </c>
      <c r="AB244" s="185">
        <f t="shared" ca="1" si="83"/>
        <v>92.940758063209884</v>
      </c>
      <c r="AC244" s="185">
        <f t="shared" ca="1" si="83"/>
        <v>95.638048934211398</v>
      </c>
      <c r="AD244" s="185">
        <f t="shared" ca="1" si="83"/>
        <v>98.225821034348598</v>
      </c>
      <c r="AE244" s="185">
        <f t="shared" ca="1" si="83"/>
        <v>101.08895461551609</v>
      </c>
      <c r="AF244" s="185">
        <f t="shared" ca="1" si="83"/>
        <v>104.15860930745632</v>
      </c>
      <c r="AG244" s="185">
        <f t="shared" ca="1" si="83"/>
        <v>107.41288135599642</v>
      </c>
      <c r="AH244" s="185">
        <f t="shared" ca="1" si="83"/>
        <v>110.79857592957373</v>
      </c>
      <c r="AI244" s="185">
        <f t="shared" ca="1" si="83"/>
        <v>114.30630570497129</v>
      </c>
      <c r="AJ244" s="185">
        <f t="shared" ca="1" si="83"/>
        <v>117.84845566549764</v>
      </c>
      <c r="AK244" s="185">
        <f t="shared" ca="1" si="83"/>
        <v>121.52202815106119</v>
      </c>
      <c r="AL244" s="185">
        <f t="shared" ca="1" si="83"/>
        <v>125.41150907061443</v>
      </c>
      <c r="AM244" s="185">
        <f t="shared" ca="1" si="83"/>
        <v>146.98670693088755</v>
      </c>
      <c r="AN244" s="185">
        <f t="shared" ca="1" si="83"/>
        <v>174.20368604454319</v>
      </c>
      <c r="AO244" s="185">
        <f t="shared" ca="1" si="83"/>
        <v>222.05556614290833</v>
      </c>
      <c r="AP244" s="185">
        <f t="shared" ca="1" si="83"/>
        <v>270.84774311683606</v>
      </c>
    </row>
    <row r="245" spans="1:42">
      <c r="A245" s="57" t="str">
        <f>'[4]TS BYDem'!A184</f>
        <v>*</v>
      </c>
      <c r="B245" s="185" t="s">
        <v>288</v>
      </c>
      <c r="C245" s="185" t="s">
        <v>137</v>
      </c>
      <c r="D245" s="185" t="str">
        <f>'[4]TS BYDem'!D184</f>
        <v>IOTS</v>
      </c>
      <c r="E245" s="185" t="s">
        <v>137</v>
      </c>
      <c r="F245" s="185" t="s">
        <v>137</v>
      </c>
      <c r="G245" s="185" t="s">
        <v>137</v>
      </c>
      <c r="H245" s="185" t="s">
        <v>137</v>
      </c>
      <c r="I245" s="185">
        <v>0</v>
      </c>
      <c r="J245" s="185">
        <f>INDEX('[4]TS BYDem'!$J$10:$J$203,MATCH(D245,'[4]TS BYDem'!$D$10:$D$203,0))</f>
        <v>73.690487252999532</v>
      </c>
      <c r="K245" s="185">
        <f t="shared" ca="1" si="82"/>
        <v>75.608630296994804</v>
      </c>
      <c r="L245" s="185">
        <f t="shared" ca="1" si="82"/>
        <v>76.866531608065117</v>
      </c>
      <c r="M245" s="185">
        <f t="shared" ca="1" si="82"/>
        <v>77.748939990457714</v>
      </c>
      <c r="N245" s="185">
        <f t="shared" ca="1" si="82"/>
        <v>78.56250800259275</v>
      </c>
      <c r="O245" s="185">
        <f t="shared" ca="1" si="82"/>
        <v>79.022486840222939</v>
      </c>
      <c r="P245" s="185">
        <f t="shared" ca="1" si="82"/>
        <v>79.710890542798751</v>
      </c>
      <c r="Q245" s="185">
        <f t="shared" ca="1" si="82"/>
        <v>79.688986788625883</v>
      </c>
      <c r="R245" s="185">
        <f t="shared" ca="1" si="82"/>
        <v>72.044576582295619</v>
      </c>
      <c r="S245" s="185">
        <f t="shared" ca="1" si="82"/>
        <v>74.062851073938276</v>
      </c>
      <c r="T245" s="185">
        <f t="shared" ca="1" si="82"/>
        <v>75.909024639936987</v>
      </c>
      <c r="U245" s="185">
        <f t="shared" ca="1" si="82"/>
        <v>77.70513248211202</v>
      </c>
      <c r="V245" s="185">
        <f t="shared" ca="1" si="82"/>
        <v>79.426141738551507</v>
      </c>
      <c r="W245" s="185">
        <f t="shared" ca="1" si="82"/>
        <v>81.234766011682453</v>
      </c>
      <c r="X245" s="185">
        <f t="shared" ca="1" si="82"/>
        <v>83.52214376887747</v>
      </c>
      <c r="Y245" s="185">
        <f t="shared" ca="1" si="82"/>
        <v>85.778230448682663</v>
      </c>
      <c r="Z245" s="185">
        <f t="shared" ca="1" si="82"/>
        <v>88.125061252918329</v>
      </c>
      <c r="AA245" s="185">
        <f t="shared" ca="1" si="83"/>
        <v>90.503183134543789</v>
      </c>
      <c r="AB245" s="185">
        <f t="shared" ca="1" si="83"/>
        <v>92.940758063209884</v>
      </c>
      <c r="AC245" s="185">
        <f t="shared" ca="1" si="83"/>
        <v>95.638048934211398</v>
      </c>
      <c r="AD245" s="185">
        <f t="shared" ca="1" si="83"/>
        <v>98.225821034348598</v>
      </c>
      <c r="AE245" s="185">
        <f t="shared" ca="1" si="83"/>
        <v>101.08895461551609</v>
      </c>
      <c r="AF245" s="185">
        <f t="shared" ca="1" si="83"/>
        <v>104.15860930745632</v>
      </c>
      <c r="AG245" s="185">
        <f t="shared" ca="1" si="83"/>
        <v>107.41288135599642</v>
      </c>
      <c r="AH245" s="185">
        <f t="shared" ca="1" si="83"/>
        <v>110.79857592957373</v>
      </c>
      <c r="AI245" s="185">
        <f t="shared" ca="1" si="83"/>
        <v>114.30630570497129</v>
      </c>
      <c r="AJ245" s="185">
        <f t="shared" ca="1" si="83"/>
        <v>117.84845566549764</v>
      </c>
      <c r="AK245" s="185">
        <f t="shared" ca="1" si="83"/>
        <v>121.52202815106119</v>
      </c>
      <c r="AL245" s="185">
        <f t="shared" ca="1" si="83"/>
        <v>125.41150907061443</v>
      </c>
      <c r="AM245" s="185">
        <f t="shared" ca="1" si="83"/>
        <v>146.98670693088755</v>
      </c>
      <c r="AN245" s="185">
        <f t="shared" ca="1" si="83"/>
        <v>174.20368604454319</v>
      </c>
      <c r="AO245" s="185">
        <f t="shared" ca="1" si="83"/>
        <v>222.05556614290833</v>
      </c>
      <c r="AP245" s="185">
        <f t="shared" ca="1" si="83"/>
        <v>270.84774311683606</v>
      </c>
    </row>
    <row r="246" spans="1:42">
      <c r="A246" s="57" t="str">
        <f>'[4]TS BYDem'!A185</f>
        <v>*</v>
      </c>
      <c r="B246" s="185" t="s">
        <v>288</v>
      </c>
      <c r="C246" s="185" t="s">
        <v>137</v>
      </c>
      <c r="D246" s="185" t="str">
        <f>'[4]TS BYDem'!D185</f>
        <v>IOTS</v>
      </c>
      <c r="E246" s="185" t="s">
        <v>137</v>
      </c>
      <c r="F246" s="185" t="s">
        <v>137</v>
      </c>
      <c r="G246" s="185" t="s">
        <v>137</v>
      </c>
      <c r="H246" s="185" t="s">
        <v>137</v>
      </c>
      <c r="I246" s="185">
        <v>0</v>
      </c>
      <c r="J246" s="185">
        <f>INDEX('[4]TS BYDem'!$J$10:$J$203,MATCH(D246,'[4]TS BYDem'!$D$10:$D$203,0))</f>
        <v>73.690487252999532</v>
      </c>
      <c r="K246" s="185">
        <f t="shared" ca="1" si="82"/>
        <v>75.608630296994804</v>
      </c>
      <c r="L246" s="185">
        <f t="shared" ca="1" si="82"/>
        <v>76.866531608065117</v>
      </c>
      <c r="M246" s="185">
        <f t="shared" ca="1" si="82"/>
        <v>77.748939990457714</v>
      </c>
      <c r="N246" s="185">
        <f t="shared" ca="1" si="82"/>
        <v>78.56250800259275</v>
      </c>
      <c r="O246" s="185">
        <f t="shared" ca="1" si="82"/>
        <v>79.022486840222939</v>
      </c>
      <c r="P246" s="185">
        <f t="shared" ca="1" si="82"/>
        <v>79.710890542798751</v>
      </c>
      <c r="Q246" s="185">
        <f t="shared" ca="1" si="82"/>
        <v>79.688986788625883</v>
      </c>
      <c r="R246" s="185">
        <f t="shared" ca="1" si="82"/>
        <v>72.044576582295619</v>
      </c>
      <c r="S246" s="185">
        <f t="shared" ca="1" si="82"/>
        <v>74.062851073938276</v>
      </c>
      <c r="T246" s="185">
        <f t="shared" ca="1" si="82"/>
        <v>75.909024639936987</v>
      </c>
      <c r="U246" s="185">
        <f t="shared" ca="1" si="82"/>
        <v>77.70513248211202</v>
      </c>
      <c r="V246" s="185">
        <f t="shared" ca="1" si="82"/>
        <v>79.426141738551507</v>
      </c>
      <c r="W246" s="185">
        <f t="shared" ca="1" si="82"/>
        <v>81.234766011682453</v>
      </c>
      <c r="X246" s="185">
        <f t="shared" ca="1" si="82"/>
        <v>83.52214376887747</v>
      </c>
      <c r="Y246" s="185">
        <f t="shared" ca="1" si="82"/>
        <v>85.778230448682663</v>
      </c>
      <c r="Z246" s="185">
        <f t="shared" ca="1" si="82"/>
        <v>88.125061252918329</v>
      </c>
      <c r="AA246" s="185">
        <f t="shared" ca="1" si="83"/>
        <v>90.503183134543789</v>
      </c>
      <c r="AB246" s="185">
        <f t="shared" ca="1" si="83"/>
        <v>92.940758063209884</v>
      </c>
      <c r="AC246" s="185">
        <f t="shared" ca="1" si="83"/>
        <v>95.638048934211398</v>
      </c>
      <c r="AD246" s="185">
        <f t="shared" ca="1" si="83"/>
        <v>98.225821034348598</v>
      </c>
      <c r="AE246" s="185">
        <f t="shared" ca="1" si="83"/>
        <v>101.08895461551609</v>
      </c>
      <c r="AF246" s="185">
        <f t="shared" ca="1" si="83"/>
        <v>104.15860930745632</v>
      </c>
      <c r="AG246" s="185">
        <f t="shared" ca="1" si="83"/>
        <v>107.41288135599642</v>
      </c>
      <c r="AH246" s="185">
        <f t="shared" ca="1" si="83"/>
        <v>110.79857592957373</v>
      </c>
      <c r="AI246" s="185">
        <f t="shared" ca="1" si="83"/>
        <v>114.30630570497129</v>
      </c>
      <c r="AJ246" s="185">
        <f t="shared" ca="1" si="83"/>
        <v>117.84845566549764</v>
      </c>
      <c r="AK246" s="185">
        <f t="shared" ca="1" si="83"/>
        <v>121.52202815106119</v>
      </c>
      <c r="AL246" s="185">
        <f t="shared" ca="1" si="83"/>
        <v>125.41150907061443</v>
      </c>
      <c r="AM246" s="185">
        <f t="shared" ca="1" si="83"/>
        <v>146.98670693088755</v>
      </c>
      <c r="AN246" s="185">
        <f t="shared" ca="1" si="83"/>
        <v>174.20368604454319</v>
      </c>
      <c r="AO246" s="185">
        <f t="shared" ca="1" si="83"/>
        <v>222.05556614290833</v>
      </c>
      <c r="AP246" s="185">
        <f t="shared" ref="L246:AP253" ca="1" si="88">AP$230/AO$230*AO246</f>
        <v>270.84774311683606</v>
      </c>
    </row>
    <row r="247" spans="1:42">
      <c r="A247" s="57" t="str">
        <f>'[4]TS BYDem'!A186</f>
        <v>*</v>
      </c>
      <c r="B247" s="185" t="s">
        <v>288</v>
      </c>
      <c r="C247" s="185" t="s">
        <v>137</v>
      </c>
      <c r="D247" s="185" t="str">
        <f>'[4]TS BYDem'!D186</f>
        <v>IOTS</v>
      </c>
      <c r="E247" s="185" t="s">
        <v>137</v>
      </c>
      <c r="F247" s="185" t="s">
        <v>137</v>
      </c>
      <c r="G247" s="185" t="s">
        <v>137</v>
      </c>
      <c r="H247" s="185" t="s">
        <v>137</v>
      </c>
      <c r="I247" s="185">
        <v>0</v>
      </c>
      <c r="J247" s="185">
        <f>INDEX('[4]TS BYDem'!$J$10:$J$203,MATCH(D247,'[4]TS BYDem'!$D$10:$D$203,0))</f>
        <v>73.690487252999532</v>
      </c>
      <c r="K247" s="185">
        <f t="shared" ca="1" si="82"/>
        <v>75.608630296994804</v>
      </c>
      <c r="L247" s="185">
        <f t="shared" ca="1" si="88"/>
        <v>76.866531608065117</v>
      </c>
      <c r="M247" s="185">
        <f t="shared" ca="1" si="88"/>
        <v>77.748939990457714</v>
      </c>
      <c r="N247" s="185">
        <f t="shared" ca="1" si="88"/>
        <v>78.56250800259275</v>
      </c>
      <c r="O247" s="185">
        <f t="shared" ca="1" si="88"/>
        <v>79.022486840222939</v>
      </c>
      <c r="P247" s="185">
        <f t="shared" ca="1" si="88"/>
        <v>79.710890542798751</v>
      </c>
      <c r="Q247" s="185">
        <f t="shared" ca="1" si="88"/>
        <v>79.688986788625883</v>
      </c>
      <c r="R247" s="185">
        <f t="shared" ca="1" si="88"/>
        <v>72.044576582295619</v>
      </c>
      <c r="S247" s="185">
        <f t="shared" ca="1" si="88"/>
        <v>74.062851073938276</v>
      </c>
      <c r="T247" s="185">
        <f t="shared" ca="1" si="88"/>
        <v>75.909024639936987</v>
      </c>
      <c r="U247" s="185">
        <f t="shared" ca="1" si="88"/>
        <v>77.70513248211202</v>
      </c>
      <c r="V247" s="185">
        <f t="shared" ca="1" si="88"/>
        <v>79.426141738551507</v>
      </c>
      <c r="W247" s="185">
        <f t="shared" ca="1" si="88"/>
        <v>81.234766011682453</v>
      </c>
      <c r="X247" s="185">
        <f t="shared" ca="1" si="88"/>
        <v>83.52214376887747</v>
      </c>
      <c r="Y247" s="185">
        <f t="shared" ca="1" si="88"/>
        <v>85.778230448682663</v>
      </c>
      <c r="Z247" s="185">
        <f t="shared" ca="1" si="88"/>
        <v>88.125061252918329</v>
      </c>
      <c r="AA247" s="185">
        <f t="shared" ca="1" si="88"/>
        <v>90.503183134543789</v>
      </c>
      <c r="AB247" s="185">
        <f t="shared" ca="1" si="88"/>
        <v>92.940758063209884</v>
      </c>
      <c r="AC247" s="185">
        <f t="shared" ca="1" si="88"/>
        <v>95.638048934211398</v>
      </c>
      <c r="AD247" s="185">
        <f t="shared" ca="1" si="88"/>
        <v>98.225821034348598</v>
      </c>
      <c r="AE247" s="185">
        <f t="shared" ca="1" si="88"/>
        <v>101.08895461551609</v>
      </c>
      <c r="AF247" s="185">
        <f t="shared" ca="1" si="88"/>
        <v>104.15860930745632</v>
      </c>
      <c r="AG247" s="185">
        <f t="shared" ca="1" si="88"/>
        <v>107.41288135599642</v>
      </c>
      <c r="AH247" s="185">
        <f t="shared" ca="1" si="88"/>
        <v>110.79857592957373</v>
      </c>
      <c r="AI247" s="185">
        <f t="shared" ca="1" si="88"/>
        <v>114.30630570497129</v>
      </c>
      <c r="AJ247" s="185">
        <f t="shared" ca="1" si="88"/>
        <v>117.84845566549764</v>
      </c>
      <c r="AK247" s="185">
        <f t="shared" ca="1" si="88"/>
        <v>121.52202815106119</v>
      </c>
      <c r="AL247" s="185">
        <f t="shared" ca="1" si="88"/>
        <v>125.41150907061443</v>
      </c>
      <c r="AM247" s="185">
        <f t="shared" ca="1" si="88"/>
        <v>146.98670693088755</v>
      </c>
      <c r="AN247" s="185">
        <f t="shared" ca="1" si="88"/>
        <v>174.20368604454319</v>
      </c>
      <c r="AO247" s="185">
        <f t="shared" ca="1" si="88"/>
        <v>222.05556614290833</v>
      </c>
      <c r="AP247" s="185">
        <f t="shared" ca="1" si="88"/>
        <v>270.84774311683606</v>
      </c>
    </row>
    <row r="248" spans="1:42">
      <c r="A248" s="57" t="str">
        <f>'[4]TS BYDem'!A187</f>
        <v>*</v>
      </c>
      <c r="B248" s="185" t="s">
        <v>288</v>
      </c>
      <c r="C248" s="185" t="s">
        <v>137</v>
      </c>
      <c r="D248" s="185" t="str">
        <f>'[4]TS BYDem'!D187</f>
        <v>IOTS</v>
      </c>
      <c r="E248" s="185" t="s">
        <v>137</v>
      </c>
      <c r="F248" s="185" t="s">
        <v>137</v>
      </c>
      <c r="G248" s="185" t="s">
        <v>137</v>
      </c>
      <c r="H248" s="185" t="s">
        <v>137</v>
      </c>
      <c r="I248" s="185">
        <v>0</v>
      </c>
      <c r="J248" s="185">
        <f>INDEX('[4]TS BYDem'!$J$10:$J$203,MATCH(D248,'[4]TS BYDem'!$D$10:$D$203,0))</f>
        <v>73.690487252999532</v>
      </c>
      <c r="K248" s="185">
        <f t="shared" ca="1" si="82"/>
        <v>75.608630296994804</v>
      </c>
      <c r="L248" s="185">
        <f t="shared" ca="1" si="88"/>
        <v>76.866531608065117</v>
      </c>
      <c r="M248" s="185">
        <f t="shared" ca="1" si="88"/>
        <v>77.748939990457714</v>
      </c>
      <c r="N248" s="185">
        <f t="shared" ca="1" si="88"/>
        <v>78.56250800259275</v>
      </c>
      <c r="O248" s="185">
        <f t="shared" ca="1" si="88"/>
        <v>79.022486840222939</v>
      </c>
      <c r="P248" s="185">
        <f t="shared" ca="1" si="88"/>
        <v>79.710890542798751</v>
      </c>
      <c r="Q248" s="185">
        <f t="shared" ca="1" si="88"/>
        <v>79.688986788625883</v>
      </c>
      <c r="R248" s="185">
        <f t="shared" ca="1" si="88"/>
        <v>72.044576582295619</v>
      </c>
      <c r="S248" s="185">
        <f t="shared" ca="1" si="88"/>
        <v>74.062851073938276</v>
      </c>
      <c r="T248" s="185">
        <f t="shared" ca="1" si="88"/>
        <v>75.909024639936987</v>
      </c>
      <c r="U248" s="185">
        <f t="shared" ca="1" si="88"/>
        <v>77.70513248211202</v>
      </c>
      <c r="V248" s="185">
        <f t="shared" ca="1" si="88"/>
        <v>79.426141738551507</v>
      </c>
      <c r="W248" s="185">
        <f t="shared" ca="1" si="88"/>
        <v>81.234766011682453</v>
      </c>
      <c r="X248" s="185">
        <f t="shared" ca="1" si="88"/>
        <v>83.52214376887747</v>
      </c>
      <c r="Y248" s="185">
        <f t="shared" ca="1" si="88"/>
        <v>85.778230448682663</v>
      </c>
      <c r="Z248" s="185">
        <f t="shared" ca="1" si="88"/>
        <v>88.125061252918329</v>
      </c>
      <c r="AA248" s="185">
        <f t="shared" ca="1" si="88"/>
        <v>90.503183134543789</v>
      </c>
      <c r="AB248" s="185">
        <f t="shared" ca="1" si="88"/>
        <v>92.940758063209884</v>
      </c>
      <c r="AC248" s="185">
        <f t="shared" ca="1" si="88"/>
        <v>95.638048934211398</v>
      </c>
      <c r="AD248" s="185">
        <f t="shared" ca="1" si="88"/>
        <v>98.225821034348598</v>
      </c>
      <c r="AE248" s="185">
        <f t="shared" ca="1" si="88"/>
        <v>101.08895461551609</v>
      </c>
      <c r="AF248" s="185">
        <f t="shared" ca="1" si="88"/>
        <v>104.15860930745632</v>
      </c>
      <c r="AG248" s="185">
        <f t="shared" ca="1" si="88"/>
        <v>107.41288135599642</v>
      </c>
      <c r="AH248" s="185">
        <f t="shared" ca="1" si="88"/>
        <v>110.79857592957373</v>
      </c>
      <c r="AI248" s="185">
        <f t="shared" ca="1" si="88"/>
        <v>114.30630570497129</v>
      </c>
      <c r="AJ248" s="185">
        <f t="shared" ca="1" si="88"/>
        <v>117.84845566549764</v>
      </c>
      <c r="AK248" s="185">
        <f t="shared" ca="1" si="88"/>
        <v>121.52202815106119</v>
      </c>
      <c r="AL248" s="185">
        <f t="shared" ca="1" si="88"/>
        <v>125.41150907061443</v>
      </c>
      <c r="AM248" s="185">
        <f t="shared" ca="1" si="88"/>
        <v>146.98670693088755</v>
      </c>
      <c r="AN248" s="185">
        <f t="shared" ca="1" si="88"/>
        <v>174.20368604454319</v>
      </c>
      <c r="AO248" s="185">
        <f t="shared" ca="1" si="88"/>
        <v>222.05556614290833</v>
      </c>
      <c r="AP248" s="185">
        <f t="shared" ca="1" si="88"/>
        <v>270.84774311683606</v>
      </c>
    </row>
    <row r="249" spans="1:42">
      <c r="A249" s="57" t="str">
        <f>'[4]TS BYDem'!A184</f>
        <v>*</v>
      </c>
      <c r="B249" s="185" t="s">
        <v>288</v>
      </c>
      <c r="C249" s="185" t="s">
        <v>137</v>
      </c>
      <c r="D249" s="185" t="str">
        <f>'[4]TS BYDem'!D184</f>
        <v>IOTS</v>
      </c>
      <c r="E249" s="185" t="s">
        <v>137</v>
      </c>
      <c r="F249" s="185" t="s">
        <v>137</v>
      </c>
      <c r="G249" s="185" t="s">
        <v>137</v>
      </c>
      <c r="H249" s="185" t="s">
        <v>137</v>
      </c>
      <c r="I249" s="185">
        <v>0</v>
      </c>
      <c r="J249" s="185">
        <f>INDEX('[4]TS BYDem'!$J$10:$J$203,MATCH(D249,'[4]TS BYDem'!$D$10:$D$203,0))</f>
        <v>73.690487252999532</v>
      </c>
      <c r="K249" s="185">
        <f t="shared" ca="1" si="82"/>
        <v>75.608630296994804</v>
      </c>
      <c r="L249" s="185">
        <f t="shared" ca="1" si="88"/>
        <v>76.866531608065117</v>
      </c>
      <c r="M249" s="185">
        <f t="shared" ca="1" si="88"/>
        <v>77.748939990457714</v>
      </c>
      <c r="N249" s="185">
        <f t="shared" ca="1" si="88"/>
        <v>78.56250800259275</v>
      </c>
      <c r="O249" s="185">
        <f t="shared" ca="1" si="88"/>
        <v>79.022486840222939</v>
      </c>
      <c r="P249" s="185">
        <f t="shared" ca="1" si="88"/>
        <v>79.710890542798751</v>
      </c>
      <c r="Q249" s="185">
        <f t="shared" ca="1" si="88"/>
        <v>79.688986788625883</v>
      </c>
      <c r="R249" s="185">
        <f t="shared" ca="1" si="88"/>
        <v>72.044576582295619</v>
      </c>
      <c r="S249" s="185">
        <f t="shared" ca="1" si="88"/>
        <v>74.062851073938276</v>
      </c>
      <c r="T249" s="185">
        <f t="shared" ca="1" si="88"/>
        <v>75.909024639936987</v>
      </c>
      <c r="U249" s="185">
        <f t="shared" ca="1" si="88"/>
        <v>77.70513248211202</v>
      </c>
      <c r="V249" s="185">
        <f t="shared" ca="1" si="88"/>
        <v>79.426141738551507</v>
      </c>
      <c r="W249" s="185">
        <f t="shared" ca="1" si="88"/>
        <v>81.234766011682453</v>
      </c>
      <c r="X249" s="185">
        <f t="shared" ca="1" si="88"/>
        <v>83.52214376887747</v>
      </c>
      <c r="Y249" s="185">
        <f t="shared" ca="1" si="88"/>
        <v>85.778230448682663</v>
      </c>
      <c r="Z249" s="185">
        <f t="shared" ca="1" si="88"/>
        <v>88.125061252918329</v>
      </c>
      <c r="AA249" s="185">
        <f t="shared" ca="1" si="88"/>
        <v>90.503183134543789</v>
      </c>
      <c r="AB249" s="185">
        <f t="shared" ca="1" si="88"/>
        <v>92.940758063209884</v>
      </c>
      <c r="AC249" s="185">
        <f t="shared" ca="1" si="88"/>
        <v>95.638048934211398</v>
      </c>
      <c r="AD249" s="185">
        <f t="shared" ca="1" si="88"/>
        <v>98.225821034348598</v>
      </c>
      <c r="AE249" s="185">
        <f t="shared" ca="1" si="88"/>
        <v>101.08895461551609</v>
      </c>
      <c r="AF249" s="185">
        <f t="shared" ca="1" si="88"/>
        <v>104.15860930745632</v>
      </c>
      <c r="AG249" s="185">
        <f t="shared" ca="1" si="88"/>
        <v>107.41288135599642</v>
      </c>
      <c r="AH249" s="185">
        <f t="shared" ca="1" si="88"/>
        <v>110.79857592957373</v>
      </c>
      <c r="AI249" s="185">
        <f t="shared" ca="1" si="88"/>
        <v>114.30630570497129</v>
      </c>
      <c r="AJ249" s="185">
        <f t="shared" ca="1" si="88"/>
        <v>117.84845566549764</v>
      </c>
      <c r="AK249" s="185">
        <f t="shared" ca="1" si="88"/>
        <v>121.52202815106119</v>
      </c>
      <c r="AL249" s="185">
        <f t="shared" ca="1" si="88"/>
        <v>125.41150907061443</v>
      </c>
      <c r="AM249" s="185">
        <f t="shared" ca="1" si="88"/>
        <v>146.98670693088755</v>
      </c>
      <c r="AN249" s="185">
        <f t="shared" ca="1" si="88"/>
        <v>174.20368604454319</v>
      </c>
      <c r="AO249" s="185">
        <f t="shared" ca="1" si="88"/>
        <v>222.05556614290833</v>
      </c>
      <c r="AP249" s="185">
        <f t="shared" ca="1" si="88"/>
        <v>270.84774311683606</v>
      </c>
    </row>
    <row r="250" spans="1:42">
      <c r="A250" s="57" t="str">
        <f>'[4]TS BYDem'!A185</f>
        <v>*</v>
      </c>
      <c r="B250" s="185" t="s">
        <v>288</v>
      </c>
      <c r="C250" s="185" t="s">
        <v>137</v>
      </c>
      <c r="D250" s="185" t="str">
        <f>'[4]TS BYDem'!D185</f>
        <v>IOTS</v>
      </c>
      <c r="E250" s="185" t="s">
        <v>137</v>
      </c>
      <c r="F250" s="185" t="s">
        <v>137</v>
      </c>
      <c r="G250" s="185" t="s">
        <v>137</v>
      </c>
      <c r="H250" s="185" t="s">
        <v>137</v>
      </c>
      <c r="I250" s="185">
        <v>0</v>
      </c>
      <c r="J250" s="185">
        <f>INDEX('[4]TS BYDem'!$J$10:$J$203,MATCH(D250,'[4]TS BYDem'!$D$10:$D$203,0))</f>
        <v>73.690487252999532</v>
      </c>
      <c r="K250" s="185">
        <f t="shared" ca="1" si="82"/>
        <v>75.608630296994804</v>
      </c>
      <c r="L250" s="185">
        <f t="shared" ca="1" si="88"/>
        <v>76.866531608065117</v>
      </c>
      <c r="M250" s="185">
        <f t="shared" ca="1" si="88"/>
        <v>77.748939990457714</v>
      </c>
      <c r="N250" s="185">
        <f t="shared" ca="1" si="88"/>
        <v>78.56250800259275</v>
      </c>
      <c r="O250" s="185">
        <f t="shared" ca="1" si="88"/>
        <v>79.022486840222939</v>
      </c>
      <c r="P250" s="185">
        <f t="shared" ca="1" si="88"/>
        <v>79.710890542798751</v>
      </c>
      <c r="Q250" s="185">
        <f t="shared" ca="1" si="88"/>
        <v>79.688986788625883</v>
      </c>
      <c r="R250" s="185">
        <f t="shared" ca="1" si="88"/>
        <v>72.044576582295619</v>
      </c>
      <c r="S250" s="185">
        <f t="shared" ca="1" si="88"/>
        <v>74.062851073938276</v>
      </c>
      <c r="T250" s="185">
        <f t="shared" ca="1" si="88"/>
        <v>75.909024639936987</v>
      </c>
      <c r="U250" s="185">
        <f t="shared" ca="1" si="88"/>
        <v>77.70513248211202</v>
      </c>
      <c r="V250" s="185">
        <f t="shared" ca="1" si="88"/>
        <v>79.426141738551507</v>
      </c>
      <c r="W250" s="185">
        <f t="shared" ca="1" si="88"/>
        <v>81.234766011682453</v>
      </c>
      <c r="X250" s="185">
        <f t="shared" ca="1" si="88"/>
        <v>83.52214376887747</v>
      </c>
      <c r="Y250" s="185">
        <f t="shared" ca="1" si="88"/>
        <v>85.778230448682663</v>
      </c>
      <c r="Z250" s="185">
        <f t="shared" ca="1" si="88"/>
        <v>88.125061252918329</v>
      </c>
      <c r="AA250" s="185">
        <f t="shared" ca="1" si="88"/>
        <v>90.503183134543789</v>
      </c>
      <c r="AB250" s="185">
        <f t="shared" ca="1" si="88"/>
        <v>92.940758063209884</v>
      </c>
      <c r="AC250" s="185">
        <f t="shared" ca="1" si="88"/>
        <v>95.638048934211398</v>
      </c>
      <c r="AD250" s="185">
        <f t="shared" ca="1" si="88"/>
        <v>98.225821034348598</v>
      </c>
      <c r="AE250" s="185">
        <f t="shared" ca="1" si="88"/>
        <v>101.08895461551609</v>
      </c>
      <c r="AF250" s="185">
        <f t="shared" ca="1" si="88"/>
        <v>104.15860930745632</v>
      </c>
      <c r="AG250" s="185">
        <f t="shared" ca="1" si="88"/>
        <v>107.41288135599642</v>
      </c>
      <c r="AH250" s="185">
        <f t="shared" ca="1" si="88"/>
        <v>110.79857592957373</v>
      </c>
      <c r="AI250" s="185">
        <f t="shared" ca="1" si="88"/>
        <v>114.30630570497129</v>
      </c>
      <c r="AJ250" s="185">
        <f t="shared" ca="1" si="88"/>
        <v>117.84845566549764</v>
      </c>
      <c r="AK250" s="185">
        <f t="shared" ca="1" si="88"/>
        <v>121.52202815106119</v>
      </c>
      <c r="AL250" s="185">
        <f t="shared" ca="1" si="88"/>
        <v>125.41150907061443</v>
      </c>
      <c r="AM250" s="185">
        <f t="shared" ca="1" si="88"/>
        <v>146.98670693088755</v>
      </c>
      <c r="AN250" s="185">
        <f t="shared" ca="1" si="88"/>
        <v>174.20368604454319</v>
      </c>
      <c r="AO250" s="185">
        <f t="shared" ca="1" si="88"/>
        <v>222.05556614290833</v>
      </c>
      <c r="AP250" s="185">
        <f t="shared" ca="1" si="88"/>
        <v>270.84774311683606</v>
      </c>
    </row>
    <row r="251" spans="1:42">
      <c r="A251" s="57" t="str">
        <f>'[4]TS BYDem'!A186</f>
        <v>*</v>
      </c>
      <c r="B251" s="185" t="s">
        <v>288</v>
      </c>
      <c r="C251" s="185" t="s">
        <v>137</v>
      </c>
      <c r="D251" s="185" t="str">
        <f>'[4]TS BYDem'!D186</f>
        <v>IOTS</v>
      </c>
      <c r="E251" s="185" t="s">
        <v>137</v>
      </c>
      <c r="F251" s="185" t="s">
        <v>137</v>
      </c>
      <c r="G251" s="185" t="s">
        <v>137</v>
      </c>
      <c r="H251" s="185" t="s">
        <v>137</v>
      </c>
      <c r="I251" s="185">
        <v>0</v>
      </c>
      <c r="J251" s="185">
        <f>INDEX('[4]TS BYDem'!$J$10:$J$203,MATCH(D251,'[4]TS BYDem'!$D$10:$D$203,0))</f>
        <v>73.690487252999532</v>
      </c>
      <c r="K251" s="185">
        <f t="shared" ca="1" si="82"/>
        <v>75.608630296994804</v>
      </c>
      <c r="L251" s="185">
        <f t="shared" ca="1" si="88"/>
        <v>76.866531608065117</v>
      </c>
      <c r="M251" s="185">
        <f t="shared" ca="1" si="88"/>
        <v>77.748939990457714</v>
      </c>
      <c r="N251" s="185">
        <f t="shared" ca="1" si="88"/>
        <v>78.56250800259275</v>
      </c>
      <c r="O251" s="185">
        <f t="shared" ca="1" si="88"/>
        <v>79.022486840222939</v>
      </c>
      <c r="P251" s="185">
        <f t="shared" ca="1" si="88"/>
        <v>79.710890542798751</v>
      </c>
      <c r="Q251" s="185">
        <f t="shared" ca="1" si="88"/>
        <v>79.688986788625883</v>
      </c>
      <c r="R251" s="185">
        <f t="shared" ca="1" si="88"/>
        <v>72.044576582295619</v>
      </c>
      <c r="S251" s="185">
        <f t="shared" ca="1" si="88"/>
        <v>74.062851073938276</v>
      </c>
      <c r="T251" s="185">
        <f t="shared" ca="1" si="88"/>
        <v>75.909024639936987</v>
      </c>
      <c r="U251" s="185">
        <f t="shared" ca="1" si="88"/>
        <v>77.70513248211202</v>
      </c>
      <c r="V251" s="185">
        <f t="shared" ca="1" si="88"/>
        <v>79.426141738551507</v>
      </c>
      <c r="W251" s="185">
        <f t="shared" ca="1" si="88"/>
        <v>81.234766011682453</v>
      </c>
      <c r="X251" s="185">
        <f t="shared" ca="1" si="88"/>
        <v>83.52214376887747</v>
      </c>
      <c r="Y251" s="185">
        <f t="shared" ca="1" si="88"/>
        <v>85.778230448682663</v>
      </c>
      <c r="Z251" s="185">
        <f t="shared" ca="1" si="88"/>
        <v>88.125061252918329</v>
      </c>
      <c r="AA251" s="185">
        <f t="shared" ca="1" si="88"/>
        <v>90.503183134543789</v>
      </c>
      <c r="AB251" s="185">
        <f t="shared" ca="1" si="88"/>
        <v>92.940758063209884</v>
      </c>
      <c r="AC251" s="185">
        <f t="shared" ca="1" si="88"/>
        <v>95.638048934211398</v>
      </c>
      <c r="AD251" s="185">
        <f t="shared" ca="1" si="88"/>
        <v>98.225821034348598</v>
      </c>
      <c r="AE251" s="185">
        <f t="shared" ca="1" si="88"/>
        <v>101.08895461551609</v>
      </c>
      <c r="AF251" s="185">
        <f t="shared" ca="1" si="88"/>
        <v>104.15860930745632</v>
      </c>
      <c r="AG251" s="185">
        <f t="shared" ca="1" si="88"/>
        <v>107.41288135599642</v>
      </c>
      <c r="AH251" s="185">
        <f t="shared" ca="1" si="88"/>
        <v>110.79857592957373</v>
      </c>
      <c r="AI251" s="185">
        <f t="shared" ca="1" si="88"/>
        <v>114.30630570497129</v>
      </c>
      <c r="AJ251" s="185">
        <f t="shared" ca="1" si="88"/>
        <v>117.84845566549764</v>
      </c>
      <c r="AK251" s="185">
        <f t="shared" ca="1" si="88"/>
        <v>121.52202815106119</v>
      </c>
      <c r="AL251" s="185">
        <f t="shared" ca="1" si="88"/>
        <v>125.41150907061443</v>
      </c>
      <c r="AM251" s="185">
        <f t="shared" ca="1" si="88"/>
        <v>146.98670693088755</v>
      </c>
      <c r="AN251" s="185">
        <f t="shared" ca="1" si="88"/>
        <v>174.20368604454319</v>
      </c>
      <c r="AO251" s="185">
        <f t="shared" ca="1" si="88"/>
        <v>222.05556614290833</v>
      </c>
      <c r="AP251" s="185">
        <f t="shared" ca="1" si="88"/>
        <v>270.84774311683606</v>
      </c>
    </row>
    <row r="252" spans="1:42">
      <c r="A252" s="57" t="str">
        <f>'[4]TS BYDem'!A187</f>
        <v>*</v>
      </c>
      <c r="B252" s="185" t="s">
        <v>288</v>
      </c>
      <c r="C252" s="185" t="s">
        <v>137</v>
      </c>
      <c r="D252" s="185" t="str">
        <f>'[4]TS BYDem'!D187</f>
        <v>IOTS</v>
      </c>
      <c r="E252" s="185" t="s">
        <v>137</v>
      </c>
      <c r="F252" s="185" t="s">
        <v>137</v>
      </c>
      <c r="G252" s="185" t="s">
        <v>137</v>
      </c>
      <c r="H252" s="185" t="s">
        <v>137</v>
      </c>
      <c r="I252" s="185">
        <v>0</v>
      </c>
      <c r="J252" s="185">
        <f>INDEX('[4]TS BYDem'!$J$10:$J$203,MATCH(D252,'[4]TS BYDem'!$D$10:$D$203,0))</f>
        <v>73.690487252999532</v>
      </c>
      <c r="K252" s="185">
        <f t="shared" ca="1" si="82"/>
        <v>75.608630296994804</v>
      </c>
      <c r="L252" s="185">
        <f t="shared" ca="1" si="88"/>
        <v>76.866531608065117</v>
      </c>
      <c r="M252" s="185">
        <f t="shared" ca="1" si="88"/>
        <v>77.748939990457714</v>
      </c>
      <c r="N252" s="185">
        <f t="shared" ca="1" si="88"/>
        <v>78.56250800259275</v>
      </c>
      <c r="O252" s="185">
        <f t="shared" ca="1" si="88"/>
        <v>79.022486840222939</v>
      </c>
      <c r="P252" s="185">
        <f t="shared" ca="1" si="88"/>
        <v>79.710890542798751</v>
      </c>
      <c r="Q252" s="185">
        <f t="shared" ca="1" si="88"/>
        <v>79.688986788625883</v>
      </c>
      <c r="R252" s="185">
        <f t="shared" ca="1" si="88"/>
        <v>72.044576582295619</v>
      </c>
      <c r="S252" s="185">
        <f t="shared" ca="1" si="88"/>
        <v>74.062851073938276</v>
      </c>
      <c r="T252" s="185">
        <f t="shared" ca="1" si="88"/>
        <v>75.909024639936987</v>
      </c>
      <c r="U252" s="185">
        <f t="shared" ca="1" si="88"/>
        <v>77.70513248211202</v>
      </c>
      <c r="V252" s="185">
        <f t="shared" ca="1" si="88"/>
        <v>79.426141738551507</v>
      </c>
      <c r="W252" s="185">
        <f t="shared" ca="1" si="88"/>
        <v>81.234766011682453</v>
      </c>
      <c r="X252" s="185">
        <f t="shared" ca="1" si="88"/>
        <v>83.52214376887747</v>
      </c>
      <c r="Y252" s="185">
        <f t="shared" ca="1" si="88"/>
        <v>85.778230448682663</v>
      </c>
      <c r="Z252" s="185">
        <f t="shared" ca="1" si="88"/>
        <v>88.125061252918329</v>
      </c>
      <c r="AA252" s="185">
        <f t="shared" ca="1" si="88"/>
        <v>90.503183134543789</v>
      </c>
      <c r="AB252" s="185">
        <f t="shared" ca="1" si="88"/>
        <v>92.940758063209884</v>
      </c>
      <c r="AC252" s="185">
        <f t="shared" ca="1" si="88"/>
        <v>95.638048934211398</v>
      </c>
      <c r="AD252" s="185">
        <f t="shared" ca="1" si="88"/>
        <v>98.225821034348598</v>
      </c>
      <c r="AE252" s="185">
        <f t="shared" ca="1" si="88"/>
        <v>101.08895461551609</v>
      </c>
      <c r="AF252" s="185">
        <f t="shared" ca="1" si="88"/>
        <v>104.15860930745632</v>
      </c>
      <c r="AG252" s="185">
        <f t="shared" ca="1" si="88"/>
        <v>107.41288135599642</v>
      </c>
      <c r="AH252" s="185">
        <f t="shared" ca="1" si="88"/>
        <v>110.79857592957373</v>
      </c>
      <c r="AI252" s="185">
        <f t="shared" ca="1" si="88"/>
        <v>114.30630570497129</v>
      </c>
      <c r="AJ252" s="185">
        <f t="shared" ca="1" si="88"/>
        <v>117.84845566549764</v>
      </c>
      <c r="AK252" s="185">
        <f t="shared" ca="1" si="88"/>
        <v>121.52202815106119</v>
      </c>
      <c r="AL252" s="185">
        <f t="shared" ca="1" si="88"/>
        <v>125.41150907061443</v>
      </c>
      <c r="AM252" s="185">
        <f t="shared" ca="1" si="88"/>
        <v>146.98670693088755</v>
      </c>
      <c r="AN252" s="185">
        <f t="shared" ca="1" si="88"/>
        <v>174.20368604454319</v>
      </c>
      <c r="AO252" s="185">
        <f t="shared" ca="1" si="88"/>
        <v>222.05556614290833</v>
      </c>
      <c r="AP252" s="185">
        <f t="shared" ca="1" si="88"/>
        <v>270.84774311683606</v>
      </c>
    </row>
    <row r="253" spans="1:42">
      <c r="A253" s="57" t="str">
        <f>'[4]TS BYDem'!A188</f>
        <v/>
      </c>
      <c r="B253" s="185" t="s">
        <v>288</v>
      </c>
      <c r="C253" s="185" t="s">
        <v>137</v>
      </c>
      <c r="D253" s="185" t="str">
        <f>'[4]TS BYDem'!D188</f>
        <v>IOTR</v>
      </c>
      <c r="E253" s="185" t="s">
        <v>137</v>
      </c>
      <c r="F253" s="185" t="s">
        <v>137</v>
      </c>
      <c r="G253" s="185" t="s">
        <v>137</v>
      </c>
      <c r="H253" s="185" t="s">
        <v>137</v>
      </c>
      <c r="I253" s="185">
        <v>0</v>
      </c>
      <c r="J253" s="185">
        <f>INDEX('[4]TS BYDem'!$J$10:$J$203,MATCH(D253,'[4]TS BYDem'!$D$10:$D$203,0))</f>
        <v>9.4685659246785185</v>
      </c>
      <c r="K253" s="185">
        <f t="shared" ca="1" si="82"/>
        <v>9.7150300822932927</v>
      </c>
      <c r="L253" s="185">
        <f t="shared" ca="1" si="88"/>
        <v>9.8766591057209254</v>
      </c>
      <c r="M253" s="192">
        <f t="shared" ref="M253" si="89">O253</f>
        <v>37.630000000000003</v>
      </c>
      <c r="N253" s="192">
        <f t="shared" ref="N253" si="90">O253</f>
        <v>37.630000000000003</v>
      </c>
      <c r="O253" s="192">
        <f>INDEX('[4]TS BYDem'!$O$10:$O$203,MATCH(D253,'[4]TS BYDem'!$D$10:$D$203,0))</f>
        <v>37.630000000000003</v>
      </c>
      <c r="P253" s="185">
        <f t="shared" ca="1" si="88"/>
        <v>37.957813415696535</v>
      </c>
      <c r="Q253" s="185">
        <f t="shared" ca="1" si="88"/>
        <v>37.947382988833461</v>
      </c>
      <c r="R253" s="185">
        <f t="shared" ca="1" si="88"/>
        <v>34.307164013621616</v>
      </c>
      <c r="S253" s="185">
        <f t="shared" ca="1" si="88"/>
        <v>35.268253346004599</v>
      </c>
      <c r="T253" s="185">
        <f t="shared" ca="1" si="88"/>
        <v>36.147389324463454</v>
      </c>
      <c r="U253" s="185">
        <f t="shared" ca="1" si="88"/>
        <v>37.002684327235293</v>
      </c>
      <c r="V253" s="185">
        <f t="shared" ca="1" si="88"/>
        <v>37.822217866476606</v>
      </c>
      <c r="W253" s="185">
        <f t="shared" ca="1" si="88"/>
        <v>38.683473113170201</v>
      </c>
      <c r="X253" s="185">
        <f t="shared" ca="1" si="88"/>
        <v>39.77270768987092</v>
      </c>
      <c r="Y253" s="185">
        <f t="shared" ca="1" si="88"/>
        <v>40.847041656767246</v>
      </c>
      <c r="Z253" s="185">
        <f t="shared" ca="1" si="88"/>
        <v>41.964587392096306</v>
      </c>
      <c r="AA253" s="185">
        <f t="shared" ca="1" si="88"/>
        <v>43.097033737229751</v>
      </c>
      <c r="AB253" s="185">
        <f t="shared" ca="1" si="88"/>
        <v>44.25779124099153</v>
      </c>
      <c r="AC253" s="185">
        <f t="shared" ca="1" si="88"/>
        <v>45.542223806129726</v>
      </c>
      <c r="AD253" s="185">
        <f t="shared" ca="1" si="88"/>
        <v>46.774504236952573</v>
      </c>
      <c r="AE253" s="185">
        <f t="shared" ca="1" si="88"/>
        <v>48.137910034054023</v>
      </c>
      <c r="AF253" s="185">
        <f t="shared" ca="1" si="88"/>
        <v>49.599659855864424</v>
      </c>
      <c r="AG253" s="185">
        <f t="shared" ca="1" si="88"/>
        <v>51.149323275520715</v>
      </c>
      <c r="AH253" s="185">
        <f t="shared" ca="1" si="88"/>
        <v>52.761569256355436</v>
      </c>
      <c r="AI253" s="185">
        <f t="shared" ca="1" si="88"/>
        <v>54.43192761542727</v>
      </c>
      <c r="AJ253" s="185">
        <f t="shared" ca="1" si="88"/>
        <v>56.118676645283919</v>
      </c>
      <c r="AK253" s="185">
        <f t="shared" ca="1" si="88"/>
        <v>57.868008236319007</v>
      </c>
      <c r="AL253" s="185">
        <f t="shared" ca="1" si="88"/>
        <v>59.72015403500437</v>
      </c>
      <c r="AM253" s="185">
        <f t="shared" ca="1" si="88"/>
        <v>69.994124495129498</v>
      </c>
      <c r="AN253" s="185">
        <f t="shared" ca="1" si="88"/>
        <v>82.954674902985687</v>
      </c>
      <c r="AO253" s="185">
        <f t="shared" ca="1" si="88"/>
        <v>105.74143244634523</v>
      </c>
      <c r="AP253" s="185">
        <f t="shared" ca="1" si="88"/>
        <v>128.97595331432603</v>
      </c>
    </row>
    <row r="254" spans="1:42">
      <c r="A254" s="57" t="str">
        <f>'[4]TS BYDem'!A189</f>
        <v>*</v>
      </c>
      <c r="B254" s="185" t="s">
        <v>288</v>
      </c>
      <c r="C254" s="185" t="s">
        <v>137</v>
      </c>
      <c r="D254" s="185">
        <f>'[4]TS BYDem'!D189</f>
        <v>0</v>
      </c>
      <c r="E254" s="185" t="s">
        <v>137</v>
      </c>
      <c r="F254" s="185" t="s">
        <v>137</v>
      </c>
      <c r="G254" s="185" t="s">
        <v>137</v>
      </c>
      <c r="H254" s="185" t="s">
        <v>137</v>
      </c>
      <c r="I254" s="185">
        <v>0</v>
      </c>
      <c r="J254" s="185" t="str">
        <f>INDEX('[4]TS BYDem'!$J$10:$J$203,MATCH(D254,'[4]TS BYDem'!$D$10:$D$203,0))</f>
        <v/>
      </c>
    </row>
  </sheetData>
  <mergeCells count="1">
    <mergeCell ref="B2:C2"/>
  </mergeCells>
  <conditionalFormatting sqref="B70:O89">
    <cfRule type="expression" dxfId="22" priority="23">
      <formula>INDIRECT(ADDRESS(ROW(),1))="*"</formula>
    </cfRule>
  </conditionalFormatting>
  <conditionalFormatting sqref="P70:AP89">
    <cfRule type="expression" dxfId="21" priority="22">
      <formula>INDIRECT(ADDRESS(ROW(),1))="*"</formula>
    </cfRule>
  </conditionalFormatting>
  <conditionalFormatting sqref="B91:AP110">
    <cfRule type="expression" dxfId="20" priority="21">
      <formula>INDIRECT(ADDRESS(ROW(),1))="*"</formula>
    </cfRule>
  </conditionalFormatting>
  <conditionalFormatting sqref="B112:AP131">
    <cfRule type="expression" dxfId="19" priority="20">
      <formula>INDIRECT(ADDRESS(ROW(),1))="*"</formula>
    </cfRule>
  </conditionalFormatting>
  <conditionalFormatting sqref="B133:AP133 B143:AP143 B134:L142 P134:AP142 B145:AP150 B144:L144 P144:AP144 B152:AP152 B151:L151 P151:AP151">
    <cfRule type="expression" dxfId="18" priority="19">
      <formula>INDIRECT(ADDRESS(ROW(),1))="*"</formula>
    </cfRule>
  </conditionalFormatting>
  <conditionalFormatting sqref="B154:AP154 B164:AP164 B155:L163 P155:AP163 B166:AP171 B165:L165 P165:AP165">
    <cfRule type="expression" dxfId="17" priority="18">
      <formula>INDIRECT(ADDRESS(ROW(),1))="*"</formula>
    </cfRule>
  </conditionalFormatting>
  <conditionalFormatting sqref="B173:AQ190">
    <cfRule type="expression" dxfId="16" priority="17">
      <formula>INDIRECT(ADDRESS(ROW(),1))="*"</formula>
    </cfRule>
  </conditionalFormatting>
  <conditionalFormatting sqref="B192:AP192 B202:AP202 B193:L201 P193:AP201 B204:AP209 B203:L203 P203:AP203">
    <cfRule type="expression" dxfId="15" priority="16">
      <formula>INDIRECT(ADDRESS(ROW(),1))="*"</formula>
    </cfRule>
  </conditionalFormatting>
  <conditionalFormatting sqref="B211:AP228">
    <cfRule type="expression" dxfId="14" priority="15">
      <formula>INDIRECT(ADDRESS(ROW(),1))="*"</formula>
    </cfRule>
  </conditionalFormatting>
  <conditionalFormatting sqref="B230:AP232 B242:AP242 B238:E238 G238:L238 B239:L241 B233:L237 P233:AP241 B244:AP252 B243:L243 P243:AP243 B253:L253 P253:AP253">
    <cfRule type="expression" dxfId="13" priority="14">
      <formula>INDIRECT(ADDRESS(ROW(),1))="*"</formula>
    </cfRule>
  </conditionalFormatting>
  <conditionalFormatting sqref="F238">
    <cfRule type="expression" dxfId="12" priority="13">
      <formula>INDIRECT(ADDRESS(ROW(),1))="*"</formula>
    </cfRule>
  </conditionalFormatting>
  <conditionalFormatting sqref="O134:O142">
    <cfRule type="expression" dxfId="11" priority="12">
      <formula>INDIRECT(ADDRESS(ROW(),1))="*"</formula>
    </cfRule>
  </conditionalFormatting>
  <conditionalFormatting sqref="O144">
    <cfRule type="expression" dxfId="10" priority="11">
      <formula>INDIRECT(ADDRESS(ROW(),1))="*"</formula>
    </cfRule>
  </conditionalFormatting>
  <conditionalFormatting sqref="O151">
    <cfRule type="expression" dxfId="9" priority="10">
      <formula>INDIRECT(ADDRESS(ROW(),1))="*"</formula>
    </cfRule>
  </conditionalFormatting>
  <conditionalFormatting sqref="O155:O163">
    <cfRule type="expression" dxfId="8" priority="9">
      <formula>INDIRECT(ADDRESS(ROW(),1))="*"</formula>
    </cfRule>
  </conditionalFormatting>
  <conditionalFormatting sqref="O165">
    <cfRule type="expression" dxfId="7" priority="8">
      <formula>INDIRECT(ADDRESS(ROW(),1))="*"</formula>
    </cfRule>
  </conditionalFormatting>
  <conditionalFormatting sqref="O193:O201">
    <cfRule type="expression" dxfId="6" priority="7">
      <formula>INDIRECT(ADDRESS(ROW(),1))="*"</formula>
    </cfRule>
  </conditionalFormatting>
  <conditionalFormatting sqref="O203">
    <cfRule type="expression" dxfId="5" priority="6">
      <formula>INDIRECT(ADDRESS(ROW(),1))="*"</formula>
    </cfRule>
  </conditionalFormatting>
  <conditionalFormatting sqref="O233:O241">
    <cfRule type="expression" dxfId="4" priority="5">
      <formula>INDIRECT(ADDRESS(ROW(),1))="*"</formula>
    </cfRule>
  </conditionalFormatting>
  <conditionalFormatting sqref="O243">
    <cfRule type="expression" dxfId="3" priority="4">
      <formula>INDIRECT(ADDRESS(ROW(),1))="*"</formula>
    </cfRule>
  </conditionalFormatting>
  <conditionalFormatting sqref="O253">
    <cfRule type="expression" dxfId="2" priority="3">
      <formula>INDIRECT(ADDRESS(ROW(),1))="*"</formula>
    </cfRule>
  </conditionalFormatting>
  <conditionalFormatting sqref="M134:N142">
    <cfRule type="expression" dxfId="1" priority="2">
      <formula>INDIRECT(ADDRESS(ROW(),1))="*"</formula>
    </cfRule>
  </conditionalFormatting>
  <conditionalFormatting sqref="M253:N253 M243:N243 M233:N241 M203:N203 M193:N201 M165:N165 M155:N163 M151:N151 M144:N144">
    <cfRule type="expression" dxfId="0" priority="1">
      <formula>INDIRECT(ADDRESS(ROW(),1))="*"</formula>
    </cfRule>
  </conditionalFormatting>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9657D-48FA-46A5-B676-34BABD9B7DA8}">
  <dimension ref="A1:H51"/>
  <sheetViews>
    <sheetView workbookViewId="0">
      <selection activeCell="D9" sqref="D9"/>
    </sheetView>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A9" s="55" t="str">
        <f>[5]ITEMS_Comm!A27</f>
        <v/>
      </c>
      <c r="B9" s="316" t="str">
        <f>[5]ITEMS_Comm!B27</f>
        <v>E</v>
      </c>
      <c r="C9" s="55" t="str">
        <f>[5]ITEMS_Comm!C27</f>
        <v>RLEL</v>
      </c>
      <c r="D9" s="55" t="str">
        <f>[5]ITEMS_Comm!D27</f>
        <v>Residential - Lighting - Low Income Electrified</v>
      </c>
      <c r="E9" s="316" t="str">
        <f>[5]ITEMS_Comm!E27</f>
        <v>PJ</v>
      </c>
      <c r="F9" s="316" t="str">
        <f>[5]ITEMS_Comm!F27</f>
        <v>COM,DEM,DAYNITE,RES</v>
      </c>
    </row>
    <row r="10" spans="1:8">
      <c r="A10" s="55" t="str">
        <f>[5]ITEMS_Comm!A28</f>
        <v/>
      </c>
      <c r="B10" s="316" t="str">
        <f>[5]ITEMS_Comm!B28</f>
        <v>E</v>
      </c>
      <c r="C10" s="55" t="str">
        <f>[5]ITEMS_Comm!C28</f>
        <v>RLNL</v>
      </c>
      <c r="D10" s="55" t="str">
        <f>[5]ITEMS_Comm!D28</f>
        <v>Residential - Lighting - Low Income Electrified paraffin</v>
      </c>
      <c r="E10" s="316" t="str">
        <f>[5]ITEMS_Comm!E28</f>
        <v>PJ</v>
      </c>
      <c r="F10" s="316" t="str">
        <f>[5]ITEMS_Comm!F28</f>
        <v>COM,DEM,DAYNITE,RES</v>
      </c>
    </row>
    <row r="11" spans="1:8">
      <c r="A11" s="55" t="str">
        <f>[5]ITEMS_Comm!A29</f>
        <v/>
      </c>
      <c r="B11" s="316" t="str">
        <f>[5]ITEMS_Comm!B29</f>
        <v>E</v>
      </c>
      <c r="C11" s="55" t="str">
        <f>[5]ITEMS_Comm!C29</f>
        <v>RLEK</v>
      </c>
      <c r="D11" s="55" t="str">
        <f>[5]ITEMS_Comm!D29</f>
        <v>Residential - Cooking - Low Income Electrified</v>
      </c>
      <c r="E11" s="316" t="str">
        <f>[5]ITEMS_Comm!E29</f>
        <v>PJ</v>
      </c>
      <c r="F11" s="316" t="str">
        <f>[5]ITEMS_Comm!F29</f>
        <v>COM,DEM,DAYNITE,RES</v>
      </c>
    </row>
    <row r="12" spans="1:8">
      <c r="A12" s="55" t="str">
        <f>[5]ITEMS_Comm!A30</f>
        <v/>
      </c>
      <c r="B12" s="316" t="str">
        <f>[5]ITEMS_Comm!B30</f>
        <v>E</v>
      </c>
      <c r="C12" s="55" t="str">
        <f>[5]ITEMS_Comm!C30</f>
        <v>RLEH</v>
      </c>
      <c r="D12" s="55" t="str">
        <f>[5]ITEMS_Comm!D30</f>
        <v>Residential - Space Heating - Low Income Electrified</v>
      </c>
      <c r="E12" s="316" t="str">
        <f>[5]ITEMS_Comm!E30</f>
        <v>PJ</v>
      </c>
      <c r="F12" s="316" t="str">
        <f>[5]ITEMS_Comm!F30</f>
        <v>COM,DEM,DAYNITE,RES</v>
      </c>
    </row>
    <row r="13" spans="1:8">
      <c r="A13" s="55" t="str">
        <f>[5]ITEMS_Comm!A31</f>
        <v/>
      </c>
      <c r="B13" s="316" t="str">
        <f>[5]ITEMS_Comm!B31</f>
        <v>E</v>
      </c>
      <c r="C13" s="55" t="str">
        <f>[5]ITEMS_Comm!C31</f>
        <v>RLEWG</v>
      </c>
      <c r="D13" s="55" t="str">
        <f>[5]ITEMS_Comm!D31</f>
        <v>Residential - Water Heating Geyser - Low Income Electrified</v>
      </c>
      <c r="E13" s="316" t="str">
        <f>[5]ITEMS_Comm!E31</f>
        <v>PJ</v>
      </c>
      <c r="F13" s="316" t="str">
        <f>[5]ITEMS_Comm!F31</f>
        <v>COM,DEM,DAYNITE,RES</v>
      </c>
    </row>
    <row r="14" spans="1:8">
      <c r="A14" s="55" t="str">
        <f>[5]ITEMS_Comm!A32</f>
        <v/>
      </c>
      <c r="B14" s="316" t="str">
        <f>[5]ITEMS_Comm!B32</f>
        <v>E</v>
      </c>
      <c r="C14" s="55" t="str">
        <f>[5]ITEMS_Comm!C32</f>
        <v>RLEW</v>
      </c>
      <c r="D14" s="55" t="str">
        <f>[5]ITEMS_Comm!D32</f>
        <v>Residential - Water Heating - Low Income Electrified</v>
      </c>
      <c r="E14" s="316" t="str">
        <f>[5]ITEMS_Comm!E32</f>
        <v>PJ</v>
      </c>
      <c r="F14" s="316" t="str">
        <f>[5]ITEMS_Comm!F32</f>
        <v>COM,DEM,DAYNITE,RES</v>
      </c>
    </row>
    <row r="15" spans="1:8">
      <c r="A15" s="55" t="str">
        <f>[5]ITEMS_Comm!A33</f>
        <v/>
      </c>
      <c r="B15" s="316" t="str">
        <f>[5]ITEMS_Comm!B33</f>
        <v>E</v>
      </c>
      <c r="C15" s="55" t="str">
        <f>[5]ITEMS_Comm!C33</f>
        <v>RLER</v>
      </c>
      <c r="D15" s="55" t="str">
        <f>[5]ITEMS_Comm!D33</f>
        <v>Residential - Refrigeration - Low Income Electrified</v>
      </c>
      <c r="E15" s="316" t="str">
        <f>[5]ITEMS_Comm!E33</f>
        <v>PJ</v>
      </c>
      <c r="F15" s="316" t="str">
        <f>[5]ITEMS_Comm!F33</f>
        <v>COM,DEM,DAYNITE,RES</v>
      </c>
    </row>
    <row r="16" spans="1:8">
      <c r="A16" s="55" t="str">
        <f>[5]ITEMS_Comm!A34</f>
        <v/>
      </c>
      <c r="B16" s="316" t="str">
        <f>[5]ITEMS_Comm!B34</f>
        <v>E</v>
      </c>
      <c r="C16" s="55" t="str">
        <f>[5]ITEMS_Comm!C34</f>
        <v>RLEO</v>
      </c>
      <c r="D16" s="55" t="str">
        <f>[5]ITEMS_Comm!D34</f>
        <v>Residential - Other - Low Income Electrified</v>
      </c>
      <c r="E16" s="316" t="str">
        <f>[5]ITEMS_Comm!E34</f>
        <v>PJ</v>
      </c>
      <c r="F16" s="316" t="str">
        <f>[5]ITEMS_Comm!F34</f>
        <v>COM,DEM,DAYNITE,RES</v>
      </c>
    </row>
    <row r="17" spans="1:6">
      <c r="A17" s="55" t="str">
        <f>[5]ITEMS_Comm!A35</f>
        <v>*</v>
      </c>
      <c r="B17" s="316" t="str">
        <f>[5]ITEMS_Comm!B35</f>
        <v>E</v>
      </c>
      <c r="C17" s="55">
        <f>[5]ITEMS_Comm!C35</f>
        <v>0</v>
      </c>
      <c r="D17" s="55" t="str">
        <f>[5]ITEMS_Comm!D35</f>
        <v/>
      </c>
      <c r="E17" s="316" t="str">
        <f>[5]ITEMS_Comm!E35</f>
        <v/>
      </c>
      <c r="F17" s="316" t="str">
        <f>[5]ITEMS_Comm!F35</f>
        <v/>
      </c>
    </row>
    <row r="18" spans="1:6">
      <c r="A18" s="55" t="str">
        <f>[5]ITEMS_Comm!A36</f>
        <v>*</v>
      </c>
      <c r="B18" s="316" t="str">
        <f>[5]ITEMS_Comm!B36</f>
        <v>E</v>
      </c>
      <c r="C18" s="55">
        <f>[5]ITEMS_Comm!C36</f>
        <v>0</v>
      </c>
      <c r="D18" s="55" t="str">
        <f>[5]ITEMS_Comm!D36</f>
        <v/>
      </c>
      <c r="E18" s="316" t="str">
        <f>[5]ITEMS_Comm!E36</f>
        <v/>
      </c>
      <c r="F18" s="316" t="str">
        <f>[5]ITEMS_Comm!F36</f>
        <v/>
      </c>
    </row>
    <row r="19" spans="1:6">
      <c r="A19" s="55" t="str">
        <f>[5]ITEMS_Comm!A37</f>
        <v>*</v>
      </c>
      <c r="B19" s="316" t="str">
        <f>[5]ITEMS_Comm!B37</f>
        <v>E</v>
      </c>
      <c r="C19" s="55">
        <f>[5]ITEMS_Comm!C37</f>
        <v>0</v>
      </c>
      <c r="D19" s="55" t="str">
        <f>[5]ITEMS_Comm!D37</f>
        <v/>
      </c>
      <c r="E19" s="316" t="str">
        <f>[5]ITEMS_Comm!E37</f>
        <v/>
      </c>
      <c r="F19" s="316" t="str">
        <f>[5]ITEMS_Comm!F37</f>
        <v/>
      </c>
    </row>
    <row r="20" spans="1:6">
      <c r="A20" s="55" t="str">
        <f>[5]ITEMS_Comm!A38</f>
        <v/>
      </c>
      <c r="B20" s="316" t="str">
        <f>[5]ITEMS_Comm!B38</f>
        <v>E</v>
      </c>
      <c r="C20" s="55" t="str">
        <f>[5]ITEMS_Comm!C38</f>
        <v>RMEL</v>
      </c>
      <c r="D20" s="55" t="str">
        <f>[5]ITEMS_Comm!D38</f>
        <v>Residential - Lighting - Middle Income Electrified</v>
      </c>
      <c r="E20" s="316" t="str">
        <f>[5]ITEMS_Comm!E38</f>
        <v>PJ</v>
      </c>
      <c r="F20" s="316" t="str">
        <f>[5]ITEMS_Comm!F38</f>
        <v>COM,DEM,DAYNITE,RES</v>
      </c>
    </row>
    <row r="21" spans="1:6">
      <c r="A21" s="55" t="str">
        <f>[5]ITEMS_Comm!A39</f>
        <v/>
      </c>
      <c r="B21" s="316" t="str">
        <f>[5]ITEMS_Comm!B39</f>
        <v>E</v>
      </c>
      <c r="C21" s="55" t="str">
        <f>[5]ITEMS_Comm!C39</f>
        <v>RMNL</v>
      </c>
      <c r="D21" s="55" t="str">
        <f>[5]ITEMS_Comm!D39</f>
        <v>Residential - Lighting - Middle Income Electrified paraffin</v>
      </c>
      <c r="E21" s="316" t="str">
        <f>[5]ITEMS_Comm!E39</f>
        <v>PJ</v>
      </c>
      <c r="F21" s="316" t="str">
        <f>[5]ITEMS_Comm!F39</f>
        <v>COM,DEM,DAYNITE,RES</v>
      </c>
    </row>
    <row r="22" spans="1:6">
      <c r="A22" s="55" t="str">
        <f>[5]ITEMS_Comm!A40</f>
        <v/>
      </c>
      <c r="B22" s="316" t="str">
        <f>[5]ITEMS_Comm!B40</f>
        <v>E</v>
      </c>
      <c r="C22" s="55" t="str">
        <f>[5]ITEMS_Comm!C40</f>
        <v>RMEK</v>
      </c>
      <c r="D22" s="55" t="str">
        <f>[5]ITEMS_Comm!D40</f>
        <v>Residential - Cooking - Middle Income Electrified</v>
      </c>
      <c r="E22" s="316" t="str">
        <f>[5]ITEMS_Comm!E40</f>
        <v>PJ</v>
      </c>
      <c r="F22" s="316" t="str">
        <f>[5]ITEMS_Comm!F40</f>
        <v>COM,DEM,DAYNITE,RES</v>
      </c>
    </row>
    <row r="23" spans="1:6">
      <c r="A23" s="55" t="str">
        <f>[5]ITEMS_Comm!A41</f>
        <v/>
      </c>
      <c r="B23" s="316" t="str">
        <f>[5]ITEMS_Comm!B41</f>
        <v>E</v>
      </c>
      <c r="C23" s="55" t="str">
        <f>[5]ITEMS_Comm!C41</f>
        <v>RMEH</v>
      </c>
      <c r="D23" s="55" t="str">
        <f>[5]ITEMS_Comm!D41</f>
        <v>Residential - Space Heating - Middle Income Electrified</v>
      </c>
      <c r="E23" s="316" t="str">
        <f>[5]ITEMS_Comm!E41</f>
        <v>PJ</v>
      </c>
      <c r="F23" s="316" t="str">
        <f>[5]ITEMS_Comm!F41</f>
        <v>COM,DEM,DAYNITE,RES</v>
      </c>
    </row>
    <row r="24" spans="1:6">
      <c r="A24" s="55" t="str">
        <f>[5]ITEMS_Comm!A42</f>
        <v/>
      </c>
      <c r="B24" s="316" t="str">
        <f>[5]ITEMS_Comm!B42</f>
        <v>E</v>
      </c>
      <c r="C24" s="55" t="str">
        <f>[5]ITEMS_Comm!C42</f>
        <v>RMEWG</v>
      </c>
      <c r="D24" s="55" t="str">
        <f>[5]ITEMS_Comm!D42</f>
        <v>Residential - Water Heating Geyser - Middle Income Electrified</v>
      </c>
      <c r="E24" s="316" t="str">
        <f>[5]ITEMS_Comm!E42</f>
        <v>PJ</v>
      </c>
      <c r="F24" s="316" t="str">
        <f>[5]ITEMS_Comm!F42</f>
        <v>COM,DEM,DAYNITE,RES</v>
      </c>
    </row>
    <row r="25" spans="1:6">
      <c r="A25" s="55" t="str">
        <f>[5]ITEMS_Comm!A43</f>
        <v/>
      </c>
      <c r="B25" s="316" t="str">
        <f>[5]ITEMS_Comm!B43</f>
        <v>E</v>
      </c>
      <c r="C25" s="55" t="str">
        <f>[5]ITEMS_Comm!C43</f>
        <v>RMEW</v>
      </c>
      <c r="D25" s="55">
        <f>[5]ITEMS_Comm!D43</f>
        <v>0</v>
      </c>
      <c r="E25" s="316" t="str">
        <f>[5]ITEMS_Comm!E43</f>
        <v>PJ</v>
      </c>
      <c r="F25" s="316" t="str">
        <f>[5]ITEMS_Comm!F43</f>
        <v>COM,DEM,DAYNITE,RES</v>
      </c>
    </row>
    <row r="26" spans="1:6">
      <c r="A26" s="55" t="str">
        <f>[5]ITEMS_Comm!A44</f>
        <v/>
      </c>
      <c r="B26" s="316" t="str">
        <f>[5]ITEMS_Comm!B44</f>
        <v>E</v>
      </c>
      <c r="C26" s="55" t="str">
        <f>[5]ITEMS_Comm!C44</f>
        <v>RMER</v>
      </c>
      <c r="D26" s="55" t="str">
        <f>[5]ITEMS_Comm!D44</f>
        <v>Residential - Refrigeration - Middle Income Electrified</v>
      </c>
      <c r="E26" s="316" t="str">
        <f>[5]ITEMS_Comm!E44</f>
        <v>PJ</v>
      </c>
      <c r="F26" s="316" t="str">
        <f>[5]ITEMS_Comm!F44</f>
        <v>COM,DEM,DAYNITE,RES</v>
      </c>
    </row>
    <row r="27" spans="1:6">
      <c r="A27" s="55" t="str">
        <f>[5]ITEMS_Comm!A45</f>
        <v/>
      </c>
      <c r="B27" s="316" t="str">
        <f>[5]ITEMS_Comm!B45</f>
        <v>E</v>
      </c>
      <c r="C27" s="55" t="str">
        <f>[5]ITEMS_Comm!C45</f>
        <v>RMEO</v>
      </c>
      <c r="D27" s="55" t="str">
        <f>[5]ITEMS_Comm!D45</f>
        <v>Residential - Other - Middle Income Electrified</v>
      </c>
      <c r="E27" s="316" t="str">
        <f>[5]ITEMS_Comm!E45</f>
        <v>PJ</v>
      </c>
      <c r="F27" s="316" t="str">
        <f>[5]ITEMS_Comm!F45</f>
        <v>COM,DEM,DAYNITE,RES</v>
      </c>
    </row>
    <row r="28" spans="1:6">
      <c r="A28" s="55" t="str">
        <f>[5]ITEMS_Comm!A46</f>
        <v>*</v>
      </c>
      <c r="B28" s="316" t="str">
        <f>[5]ITEMS_Comm!B46</f>
        <v>E</v>
      </c>
      <c r="C28" s="55">
        <f>[5]ITEMS_Comm!C46</f>
        <v>0</v>
      </c>
      <c r="D28" s="55" t="str">
        <f>[5]ITEMS_Comm!D46</f>
        <v/>
      </c>
      <c r="E28" s="316" t="str">
        <f>[5]ITEMS_Comm!E46</f>
        <v/>
      </c>
      <c r="F28" s="316" t="str">
        <f>[5]ITEMS_Comm!F46</f>
        <v/>
      </c>
    </row>
    <row r="29" spans="1:6">
      <c r="A29" s="55" t="str">
        <f>[5]ITEMS_Comm!A47</f>
        <v>*</v>
      </c>
      <c r="B29" s="316" t="str">
        <f>[5]ITEMS_Comm!B47</f>
        <v>E</v>
      </c>
      <c r="C29" s="55">
        <f>[5]ITEMS_Comm!C47</f>
        <v>0</v>
      </c>
      <c r="D29" s="55" t="str">
        <f>[5]ITEMS_Comm!D47</f>
        <v/>
      </c>
      <c r="E29" s="316" t="str">
        <f>[5]ITEMS_Comm!E47</f>
        <v/>
      </c>
      <c r="F29" s="316" t="str">
        <f>[5]ITEMS_Comm!F47</f>
        <v/>
      </c>
    </row>
    <row r="30" spans="1:6">
      <c r="A30" s="55" t="str">
        <f>[5]ITEMS_Comm!A48</f>
        <v>*</v>
      </c>
      <c r="B30" s="316" t="str">
        <f>[5]ITEMS_Comm!B48</f>
        <v>E</v>
      </c>
      <c r="C30" s="55">
        <f>[5]ITEMS_Comm!C48</f>
        <v>0</v>
      </c>
      <c r="D30" s="55" t="str">
        <f>[5]ITEMS_Comm!D48</f>
        <v/>
      </c>
      <c r="E30" s="316" t="str">
        <f>[5]ITEMS_Comm!E48</f>
        <v/>
      </c>
      <c r="F30" s="316" t="str">
        <f>[5]ITEMS_Comm!F48</f>
        <v/>
      </c>
    </row>
    <row r="31" spans="1:6">
      <c r="A31" s="55" t="str">
        <f>[5]ITEMS_Comm!A49</f>
        <v/>
      </c>
      <c r="B31" s="316" t="str">
        <f>[5]ITEMS_Comm!B49</f>
        <v>E</v>
      </c>
      <c r="C31" s="55" t="str">
        <f>[5]ITEMS_Comm!C49</f>
        <v>RHEL</v>
      </c>
      <c r="D31" s="55" t="str">
        <f>[5]ITEMS_Comm!D49</f>
        <v>Residential - Lighting - High Income Electrified</v>
      </c>
      <c r="E31" s="316" t="str">
        <f>[5]ITEMS_Comm!E49</f>
        <v>PJ</v>
      </c>
      <c r="F31" s="316" t="str">
        <f>[5]ITEMS_Comm!F49</f>
        <v>COM,DEM,DAYNITE,RES</v>
      </c>
    </row>
    <row r="32" spans="1:6">
      <c r="A32" s="55" t="str">
        <f>[5]ITEMS_Comm!A50</f>
        <v/>
      </c>
      <c r="B32" s="316" t="str">
        <f>[5]ITEMS_Comm!B50</f>
        <v>E</v>
      </c>
      <c r="C32" s="55" t="str">
        <f>[5]ITEMS_Comm!C50</f>
        <v>RHEK</v>
      </c>
      <c r="D32" s="55" t="str">
        <f>[5]ITEMS_Comm!D50</f>
        <v>Residential - Cooking - High Income Electrified</v>
      </c>
      <c r="E32" s="316" t="str">
        <f>[5]ITEMS_Comm!E50</f>
        <v>PJ</v>
      </c>
      <c r="F32" s="316" t="str">
        <f>[5]ITEMS_Comm!F50</f>
        <v>COM,DEM,DAYNITE,RES</v>
      </c>
    </row>
    <row r="33" spans="1:6">
      <c r="A33" s="55" t="str">
        <f>[5]ITEMS_Comm!A51</f>
        <v/>
      </c>
      <c r="B33" s="316" t="str">
        <f>[5]ITEMS_Comm!B51</f>
        <v>E</v>
      </c>
      <c r="C33" s="55" t="str">
        <f>[5]ITEMS_Comm!C51</f>
        <v>RHEH</v>
      </c>
      <c r="D33" s="55" t="str">
        <f>[5]ITEMS_Comm!D51</f>
        <v>Residential - Space Heating - High Income Electrified</v>
      </c>
      <c r="E33" s="316" t="str">
        <f>[5]ITEMS_Comm!E51</f>
        <v>PJ</v>
      </c>
      <c r="F33" s="316" t="str">
        <f>[5]ITEMS_Comm!F51</f>
        <v>COM,DEM,DAYNITE,RES</v>
      </c>
    </row>
    <row r="34" spans="1:6">
      <c r="A34" s="55" t="str">
        <f>[5]ITEMS_Comm!A52</f>
        <v/>
      </c>
      <c r="B34" s="316" t="str">
        <f>[5]ITEMS_Comm!B52</f>
        <v>E</v>
      </c>
      <c r="C34" s="55" t="str">
        <f>[5]ITEMS_Comm!C52</f>
        <v>RHEWG</v>
      </c>
      <c r="D34" s="55" t="str">
        <f>[5]ITEMS_Comm!D52</f>
        <v>Residential - Water Heating Geyser - High Income Electrified</v>
      </c>
      <c r="E34" s="316" t="str">
        <f>[5]ITEMS_Comm!E52</f>
        <v>PJ</v>
      </c>
      <c r="F34" s="316" t="str">
        <f>[5]ITEMS_Comm!F52</f>
        <v>COM,DEM,DAYNITE,RES</v>
      </c>
    </row>
    <row r="35" spans="1:6">
      <c r="A35" s="55" t="str">
        <f>[5]ITEMS_Comm!A53</f>
        <v/>
      </c>
      <c r="B35" s="316" t="str">
        <f>[5]ITEMS_Comm!B53</f>
        <v>E</v>
      </c>
      <c r="C35" s="55" t="str">
        <f>[5]ITEMS_Comm!C53</f>
        <v>RHEW</v>
      </c>
      <c r="D35" s="55" t="str">
        <f>[5]ITEMS_Comm!D53</f>
        <v xml:space="preserve">Residential -water heating non geyser high income </v>
      </c>
      <c r="E35" s="316" t="str">
        <f>[5]ITEMS_Comm!E53</f>
        <v>PJ</v>
      </c>
      <c r="F35" s="316" t="str">
        <f>[5]ITEMS_Comm!F53</f>
        <v>COM,DEM,DAYNITE,RES</v>
      </c>
    </row>
    <row r="36" spans="1:6">
      <c r="A36" s="55" t="str">
        <f>[5]ITEMS_Comm!A54</f>
        <v/>
      </c>
      <c r="B36" s="316" t="str">
        <f>[5]ITEMS_Comm!B54</f>
        <v>E</v>
      </c>
      <c r="C36" s="55" t="str">
        <f>[5]ITEMS_Comm!C54</f>
        <v>RHER</v>
      </c>
      <c r="D36" s="55" t="str">
        <f>[5]ITEMS_Comm!D54</f>
        <v>Residential - Refrigeration - High Income Electrified</v>
      </c>
      <c r="E36" s="316" t="str">
        <f>[5]ITEMS_Comm!E54</f>
        <v>PJ</v>
      </c>
      <c r="F36" s="316" t="str">
        <f>[5]ITEMS_Comm!F54</f>
        <v>COM,DEM,DAYNITE,RES</v>
      </c>
    </row>
    <row r="37" spans="1:6">
      <c r="A37" s="55" t="str">
        <f>[5]ITEMS_Comm!A55</f>
        <v/>
      </c>
      <c r="B37" s="316" t="str">
        <f>[5]ITEMS_Comm!B55</f>
        <v>E</v>
      </c>
      <c r="C37" s="55" t="str">
        <f>[5]ITEMS_Comm!C55</f>
        <v>RHEO</v>
      </c>
      <c r="D37" s="55" t="str">
        <f>[5]ITEMS_Comm!D55</f>
        <v>Residential - Other - High Income Electrified</v>
      </c>
      <c r="E37" s="316" t="str">
        <f>[5]ITEMS_Comm!E55</f>
        <v>PJ</v>
      </c>
      <c r="F37" s="316" t="str">
        <f>[5]ITEMS_Comm!F55</f>
        <v>COM,DEM,DAYNITE,RES</v>
      </c>
    </row>
    <row r="38" spans="1:6">
      <c r="A38" s="55" t="str">
        <f>[5]ITEMS_Comm!A56</f>
        <v>*</v>
      </c>
      <c r="B38" s="316" t="str">
        <f>[5]ITEMS_Comm!B56</f>
        <v>E</v>
      </c>
      <c r="C38" s="55">
        <f>[5]ITEMS_Comm!C56</f>
        <v>0</v>
      </c>
      <c r="D38" s="55" t="str">
        <f>[5]ITEMS_Comm!D56</f>
        <v/>
      </c>
      <c r="E38" s="316" t="str">
        <f>[5]ITEMS_Comm!E56</f>
        <v/>
      </c>
      <c r="F38" s="316" t="str">
        <f>[5]ITEMS_Comm!F56</f>
        <v/>
      </c>
    </row>
    <row r="39" spans="1:6">
      <c r="A39" s="55" t="str">
        <f>[5]ITEMS_Comm!A57</f>
        <v>*</v>
      </c>
      <c r="B39" s="316" t="str">
        <f>[5]ITEMS_Comm!B57</f>
        <v>E</v>
      </c>
      <c r="C39" s="55">
        <f>[5]ITEMS_Comm!C57</f>
        <v>0</v>
      </c>
      <c r="D39" s="55">
        <f>[5]ITEMS_Comm!D57</f>
        <v>0</v>
      </c>
      <c r="E39" s="316">
        <f>[5]ITEMS_Comm!E57</f>
        <v>0</v>
      </c>
      <c r="F39" s="316">
        <f>[5]ITEMS_Comm!F57</f>
        <v>0</v>
      </c>
    </row>
    <row r="40" spans="1:6">
      <c r="A40" s="55" t="str">
        <f>[5]ITEMS_Comm!A58</f>
        <v>*</v>
      </c>
      <c r="B40" s="316" t="str">
        <f>[5]ITEMS_Comm!B58</f>
        <v>E</v>
      </c>
      <c r="C40" s="55">
        <f>[5]ITEMS_Comm!C58</f>
        <v>0</v>
      </c>
      <c r="D40" s="55">
        <f>[5]ITEMS_Comm!D58</f>
        <v>0</v>
      </c>
      <c r="E40" s="316">
        <f>[5]ITEMS_Comm!E58</f>
        <v>0</v>
      </c>
      <c r="F40" s="316">
        <f>[5]ITEMS_Comm!F58</f>
        <v>0</v>
      </c>
    </row>
    <row r="41" spans="1:6">
      <c r="A41" s="55" t="str">
        <f>[5]ITEMS_Comm!A59</f>
        <v>*</v>
      </c>
      <c r="B41" s="316" t="str">
        <f>[5]ITEMS_Comm!B59</f>
        <v>E</v>
      </c>
      <c r="C41" s="55">
        <f>[5]ITEMS_Comm!C59</f>
        <v>0</v>
      </c>
      <c r="D41" s="55">
        <f>[5]ITEMS_Comm!D59</f>
        <v>0</v>
      </c>
      <c r="E41" s="316">
        <f>[5]ITEMS_Comm!E59</f>
        <v>0</v>
      </c>
      <c r="F41" s="316">
        <f>[5]ITEMS_Comm!F59</f>
        <v>0</v>
      </c>
    </row>
    <row r="42" spans="1:6">
      <c r="A42" s="55" t="str">
        <f>[5]ITEMS_Comm!A60</f>
        <v>*</v>
      </c>
      <c r="B42" s="316" t="str">
        <f>[5]ITEMS_Comm!B60</f>
        <v>E</v>
      </c>
      <c r="C42" s="55">
        <f>[5]ITEMS_Comm!C60</f>
        <v>0</v>
      </c>
      <c r="D42" s="55">
        <f>[5]ITEMS_Comm!D60</f>
        <v>0</v>
      </c>
      <c r="E42" s="316">
        <f>[5]ITEMS_Comm!E60</f>
        <v>0</v>
      </c>
      <c r="F42" s="316">
        <f>[5]ITEMS_Comm!F60</f>
        <v>0</v>
      </c>
    </row>
    <row r="43" spans="1:6">
      <c r="A43" s="55" t="str">
        <f>[5]ITEMS_Comm!A61</f>
        <v>*</v>
      </c>
      <c r="B43" s="316" t="str">
        <f>[5]ITEMS_Comm!B61</f>
        <v>E</v>
      </c>
      <c r="C43" s="55">
        <f>[5]ITEMS_Comm!C61</f>
        <v>0</v>
      </c>
      <c r="D43" s="55">
        <f>[5]ITEMS_Comm!D61</f>
        <v>0</v>
      </c>
      <c r="E43" s="316">
        <f>[5]ITEMS_Comm!E61</f>
        <v>0</v>
      </c>
      <c r="F43" s="316">
        <f>[5]ITEMS_Comm!F61</f>
        <v>0</v>
      </c>
    </row>
    <row r="44" spans="1:6">
      <c r="A44" s="55" t="str">
        <f>[5]ITEMS_Comm!A62</f>
        <v>*</v>
      </c>
      <c r="B44" s="316" t="str">
        <f>[5]ITEMS_Comm!B62</f>
        <v>E</v>
      </c>
      <c r="C44" s="55">
        <f>[5]ITEMS_Comm!C62</f>
        <v>0</v>
      </c>
      <c r="D44" s="55">
        <f>[5]ITEMS_Comm!D62</f>
        <v>0</v>
      </c>
      <c r="E44" s="316">
        <f>[5]ITEMS_Comm!E62</f>
        <v>0</v>
      </c>
      <c r="F44" s="316">
        <f>[5]ITEMS_Comm!F62</f>
        <v>0</v>
      </c>
    </row>
    <row r="45" spans="1:6">
      <c r="A45" s="55" t="str">
        <f>[5]ITEMS_Comm!A63</f>
        <v>*</v>
      </c>
      <c r="B45" s="316" t="str">
        <f>[5]ITEMS_Comm!B63</f>
        <v>E</v>
      </c>
      <c r="C45" s="55">
        <f>[5]ITEMS_Comm!C63</f>
        <v>0</v>
      </c>
      <c r="D45" s="55">
        <f>[5]ITEMS_Comm!D63</f>
        <v>0</v>
      </c>
      <c r="E45" s="316">
        <f>[5]ITEMS_Comm!E63</f>
        <v>0</v>
      </c>
      <c r="F45" s="316">
        <f>[5]ITEMS_Comm!F63</f>
        <v>0</v>
      </c>
    </row>
    <row r="46" spans="1:6">
      <c r="A46" s="55" t="str">
        <f>[5]ITEMS_Comm!A64</f>
        <v>*</v>
      </c>
      <c r="B46" s="316" t="str">
        <f>[5]ITEMS_Comm!B64</f>
        <v>E</v>
      </c>
      <c r="C46" s="55">
        <f>[5]ITEMS_Comm!C64</f>
        <v>0</v>
      </c>
      <c r="D46" s="55">
        <f>[5]ITEMS_Comm!D64</f>
        <v>0</v>
      </c>
      <c r="E46" s="316">
        <f>[5]ITEMS_Comm!E64</f>
        <v>0</v>
      </c>
      <c r="F46" s="316">
        <f>[5]ITEMS_Comm!F64</f>
        <v>0</v>
      </c>
    </row>
    <row r="47" spans="1:6">
      <c r="A47" s="55" t="str">
        <f>[5]ITEMS_Comm!A65</f>
        <v>*</v>
      </c>
      <c r="B47" s="316" t="str">
        <f>[5]ITEMS_Comm!B65</f>
        <v>E</v>
      </c>
      <c r="C47" s="55">
        <f>[5]ITEMS_Comm!C65</f>
        <v>0</v>
      </c>
      <c r="D47" s="55">
        <f>[5]ITEMS_Comm!D65</f>
        <v>0</v>
      </c>
      <c r="E47" s="316">
        <f>[5]ITEMS_Comm!E65</f>
        <v>0</v>
      </c>
      <c r="F47" s="316">
        <f>[5]ITEMS_Comm!F65</f>
        <v>0</v>
      </c>
    </row>
    <row r="48" spans="1:6">
      <c r="A48" s="55" t="str">
        <f>[5]ITEMS_Comm!A66</f>
        <v>*</v>
      </c>
      <c r="B48" s="316" t="str">
        <f>[5]ITEMS_Comm!B66</f>
        <v>E</v>
      </c>
      <c r="C48" s="55">
        <f>[5]ITEMS_Comm!C66</f>
        <v>0</v>
      </c>
      <c r="D48" s="55">
        <f>[5]ITEMS_Comm!D66</f>
        <v>0</v>
      </c>
      <c r="E48" s="316">
        <f>[5]ITEMS_Comm!E66</f>
        <v>0</v>
      </c>
      <c r="F48" s="316">
        <f>[5]ITEMS_Comm!F66</f>
        <v>0</v>
      </c>
    </row>
    <row r="49" spans="1:6">
      <c r="A49" s="55" t="str">
        <f>[5]ITEMS_Comm!A67</f>
        <v>*</v>
      </c>
      <c r="B49" s="316" t="str">
        <f>[5]ITEMS_Comm!B67</f>
        <v>E</v>
      </c>
      <c r="C49" s="55">
        <f>[5]ITEMS_Comm!C67</f>
        <v>0</v>
      </c>
      <c r="D49" s="55">
        <f>[5]ITEMS_Comm!D67</f>
        <v>0</v>
      </c>
      <c r="E49" s="316">
        <f>[5]ITEMS_Comm!E67</f>
        <v>0</v>
      </c>
      <c r="F49" s="316">
        <f>[5]ITEMS_Comm!F67</f>
        <v>0</v>
      </c>
    </row>
    <row r="50" spans="1:6">
      <c r="A50" s="18" t="str">
        <f>[5]ITEMS_Comm!A68</f>
        <v>*</v>
      </c>
      <c r="B50" s="18" t="str">
        <f>[5]ITEMS_Comm!B68</f>
        <v>E</v>
      </c>
      <c r="C50" s="18">
        <f>[5]ITEMS_Comm!C68</f>
        <v>0</v>
      </c>
      <c r="D50" s="18">
        <f>[5]ITEMS_Comm!D68</f>
        <v>0</v>
      </c>
      <c r="E50" s="18">
        <f>[5]ITEMS_Comm!E68</f>
        <v>0</v>
      </c>
      <c r="F50" s="18">
        <f>[5]ITEMS_Comm!F68</f>
        <v>0</v>
      </c>
    </row>
    <row r="51" spans="1:6">
      <c r="A51" s="18" t="str">
        <f>[5]ITEMS_Comm!A69</f>
        <v>*</v>
      </c>
      <c r="B51" s="18" t="str">
        <f>[5]ITEMS_Comm!B69</f>
        <v>E</v>
      </c>
      <c r="C51" s="18">
        <f>[5]ITEMS_Comm!C69</f>
        <v>0</v>
      </c>
      <c r="D51" s="18">
        <f>[5]ITEMS_Comm!D69</f>
        <v>0</v>
      </c>
      <c r="E51" s="18">
        <f>[5]ITEMS_Comm!E69</f>
        <v>0</v>
      </c>
      <c r="F51" s="18">
        <f>[5]ITEMS_Comm!F69</f>
        <v>0</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tabColor theme="9" tint="-0.249977111117893"/>
  </sheetPr>
  <dimension ref="A1:BB139"/>
  <sheetViews>
    <sheetView zoomScale="60" zoomScaleNormal="60" workbookViewId="0">
      <selection activeCell="M22" sqref="M22"/>
    </sheetView>
  </sheetViews>
  <sheetFormatPr defaultColWidth="9.140625" defaultRowHeight="15"/>
  <cols>
    <col min="1" max="1" width="8.85546875" style="315" bestFit="1" customWidth="1"/>
    <col min="2" max="2" width="35.5703125" style="315" bestFit="1" customWidth="1"/>
    <col min="3" max="3" width="48" style="315" bestFit="1" customWidth="1"/>
    <col min="4" max="4" width="11.42578125" style="315" bestFit="1" customWidth="1"/>
    <col min="5" max="6" width="6.42578125" style="315" bestFit="1" customWidth="1"/>
    <col min="7" max="8" width="8.42578125" style="315" bestFit="1" customWidth="1"/>
    <col min="9" max="9" width="17.140625" style="315" bestFit="1" customWidth="1"/>
    <col min="10" max="10" width="8.7109375" style="40" bestFit="1" customWidth="1"/>
    <col min="11" max="15" width="13.140625" style="315" bestFit="1" customWidth="1"/>
    <col min="16" max="16" width="12.140625" style="315" bestFit="1" customWidth="1"/>
    <col min="17" max="20" width="13.140625" style="315" bestFit="1" customWidth="1"/>
    <col min="21" max="27" width="13" style="315" bestFit="1" customWidth="1"/>
    <col min="28" max="42" width="8.42578125" style="315" bestFit="1" customWidth="1"/>
    <col min="43" max="48" width="6.42578125" style="315" customWidth="1"/>
    <col min="49" max="53" width="9.140625" style="315"/>
    <col min="54" max="54" width="10.5703125" style="315" bestFit="1" customWidth="1"/>
    <col min="55" max="16384" width="9.140625" style="315"/>
  </cols>
  <sheetData>
    <row r="1" spans="1:54">
      <c r="A1" s="315" t="str">
        <f>IF(RES,"TS DATA","")</f>
        <v>TS DATA</v>
      </c>
      <c r="B1" s="315" t="s">
        <v>17</v>
      </c>
      <c r="J1" s="39"/>
    </row>
    <row r="2" spans="1:54" ht="15.75" thickBot="1">
      <c r="A2" s="315" t="s">
        <v>16</v>
      </c>
      <c r="B2" s="325" t="s">
        <v>197</v>
      </c>
      <c r="C2" s="325"/>
      <c r="I2" s="121"/>
      <c r="J2" s="315"/>
      <c r="BB2" s="315" t="s">
        <v>295</v>
      </c>
    </row>
    <row r="3" spans="1:54" ht="15.75" thickBot="1">
      <c r="A3" s="315" t="s">
        <v>16</v>
      </c>
      <c r="C3" s="314"/>
      <c r="D3" s="314"/>
      <c r="E3" s="14"/>
      <c r="F3" s="14"/>
      <c r="G3" s="14"/>
      <c r="H3" s="14"/>
      <c r="I3" s="147"/>
      <c r="J3" s="315">
        <v>2012</v>
      </c>
      <c r="K3" s="315">
        <v>2013</v>
      </c>
      <c r="L3" s="315">
        <v>2014</v>
      </c>
      <c r="M3" s="315">
        <v>2015</v>
      </c>
      <c r="N3" s="315">
        <v>2016</v>
      </c>
      <c r="O3" s="315">
        <v>2017</v>
      </c>
      <c r="P3" s="315">
        <v>2018</v>
      </c>
      <c r="Q3" s="315">
        <v>2019</v>
      </c>
      <c r="R3" s="315">
        <v>2020</v>
      </c>
      <c r="S3" s="315">
        <v>2021</v>
      </c>
      <c r="T3" s="315">
        <v>2022</v>
      </c>
      <c r="U3" s="315">
        <v>2023</v>
      </c>
      <c r="V3" s="315">
        <v>2024</v>
      </c>
      <c r="W3" s="315">
        <v>2025</v>
      </c>
      <c r="X3" s="315">
        <v>2026</v>
      </c>
      <c r="Y3" s="315">
        <v>2027</v>
      </c>
      <c r="Z3" s="315">
        <v>2028</v>
      </c>
      <c r="AA3" s="315">
        <v>2029</v>
      </c>
      <c r="AB3" s="315">
        <v>2030</v>
      </c>
      <c r="AC3" s="315">
        <v>2031</v>
      </c>
      <c r="AD3" s="315">
        <v>2032</v>
      </c>
      <c r="AE3" s="315">
        <v>2033</v>
      </c>
      <c r="AF3" s="315">
        <v>2034</v>
      </c>
      <c r="AG3" s="315">
        <v>2035</v>
      </c>
      <c r="AH3" s="315">
        <v>2036</v>
      </c>
      <c r="AI3" s="315">
        <v>2037</v>
      </c>
      <c r="AJ3" s="315">
        <v>2038</v>
      </c>
      <c r="AK3" s="315">
        <v>2039</v>
      </c>
      <c r="AL3" s="315">
        <v>2040</v>
      </c>
      <c r="AM3" s="315">
        <v>2045</v>
      </c>
      <c r="AN3" s="315">
        <v>2050</v>
      </c>
      <c r="AO3" s="315">
        <v>2060</v>
      </c>
      <c r="AP3" s="315">
        <v>2070</v>
      </c>
    </row>
    <row r="4" spans="1:54">
      <c r="A4" s="315" t="s">
        <v>16</v>
      </c>
      <c r="C4" s="315" t="s">
        <v>392</v>
      </c>
      <c r="D4" s="315">
        <v>1</v>
      </c>
      <c r="E4" s="315">
        <v>2012</v>
      </c>
      <c r="F4" s="315">
        <v>2020</v>
      </c>
      <c r="G4" s="315">
        <v>2030</v>
      </c>
      <c r="H4" s="315">
        <v>2040</v>
      </c>
      <c r="I4" s="121">
        <v>2050</v>
      </c>
      <c r="J4" s="315">
        <f t="shared" ref="J4:S5" si="0">MATCH(J$3,$E$4:$I$4,$D4)</f>
        <v>1</v>
      </c>
      <c r="K4" s="315">
        <f t="shared" si="0"/>
        <v>1</v>
      </c>
      <c r="L4" s="315">
        <f t="shared" si="0"/>
        <v>1</v>
      </c>
      <c r="M4" s="315">
        <f t="shared" si="0"/>
        <v>1</v>
      </c>
      <c r="N4" s="315">
        <f t="shared" si="0"/>
        <v>1</v>
      </c>
      <c r="O4" s="315">
        <f t="shared" si="0"/>
        <v>1</v>
      </c>
      <c r="P4" s="315">
        <f t="shared" si="0"/>
        <v>1</v>
      </c>
      <c r="Q4" s="315">
        <f t="shared" si="0"/>
        <v>1</v>
      </c>
      <c r="R4" s="315">
        <f t="shared" si="0"/>
        <v>2</v>
      </c>
      <c r="S4" s="315">
        <f t="shared" si="0"/>
        <v>2</v>
      </c>
      <c r="T4" s="315">
        <f t="shared" ref="T4:AC5" si="1">MATCH(T$3,$E$4:$I$4,$D4)</f>
        <v>2</v>
      </c>
      <c r="U4" s="315">
        <f t="shared" si="1"/>
        <v>2</v>
      </c>
      <c r="V4" s="315">
        <f t="shared" si="1"/>
        <v>2</v>
      </c>
      <c r="W4" s="315">
        <f t="shared" si="1"/>
        <v>2</v>
      </c>
      <c r="X4" s="315">
        <f t="shared" si="1"/>
        <v>2</v>
      </c>
      <c r="Y4" s="315">
        <f t="shared" si="1"/>
        <v>2</v>
      </c>
      <c r="Z4" s="315">
        <f t="shared" si="1"/>
        <v>2</v>
      </c>
      <c r="AA4" s="315">
        <f t="shared" si="1"/>
        <v>2</v>
      </c>
      <c r="AB4" s="315">
        <f t="shared" si="1"/>
        <v>3</v>
      </c>
      <c r="AC4" s="315">
        <f t="shared" si="1"/>
        <v>3</v>
      </c>
      <c r="AD4" s="315">
        <f t="shared" ref="AD4:AP5" si="2">MATCH(AD$3,$E$4:$I$4,$D4)</f>
        <v>3</v>
      </c>
      <c r="AE4" s="315">
        <f t="shared" si="2"/>
        <v>3</v>
      </c>
      <c r="AF4" s="315">
        <f t="shared" si="2"/>
        <v>3</v>
      </c>
      <c r="AG4" s="315">
        <f t="shared" si="2"/>
        <v>3</v>
      </c>
      <c r="AH4" s="315">
        <f t="shared" si="2"/>
        <v>3</v>
      </c>
      <c r="AI4" s="315">
        <f t="shared" si="2"/>
        <v>3</v>
      </c>
      <c r="AJ4" s="315">
        <f t="shared" si="2"/>
        <v>3</v>
      </c>
      <c r="AK4" s="315">
        <f t="shared" si="2"/>
        <v>3</v>
      </c>
      <c r="AL4" s="315">
        <f t="shared" si="2"/>
        <v>4</v>
      </c>
      <c r="AM4" s="315">
        <f t="shared" si="2"/>
        <v>4</v>
      </c>
      <c r="AN4" s="315">
        <f t="shared" si="2"/>
        <v>5</v>
      </c>
      <c r="AO4" s="315">
        <f t="shared" si="2"/>
        <v>5</v>
      </c>
      <c r="AP4" s="315">
        <f t="shared" si="2"/>
        <v>5</v>
      </c>
    </row>
    <row r="5" spans="1:54">
      <c r="A5" s="315" t="s">
        <v>16</v>
      </c>
      <c r="C5" s="315" t="s">
        <v>393</v>
      </c>
      <c r="D5" s="315">
        <v>0</v>
      </c>
      <c r="E5" s="315">
        <f>INDEX($E4:$I4,0,COUNT($E4:$I4)-E6)</f>
        <v>2050</v>
      </c>
      <c r="F5" s="315">
        <f>INDEX($E4:$I4,0,COUNT($E4:$I4)-F6)</f>
        <v>2040</v>
      </c>
      <c r="G5" s="315">
        <f>INDEX($E4:$I4,0,COUNT($E4:$I4)-G6)</f>
        <v>2030</v>
      </c>
      <c r="H5" s="315">
        <f>INDEX($E4:$I4,0,COUNT($E4:$I4)-H6)</f>
        <v>2020</v>
      </c>
      <c r="I5" s="121">
        <f>INDEX($E4:$I4,0,COUNT($E4:$I4)-I6)</f>
        <v>2012</v>
      </c>
      <c r="J5" s="315">
        <f t="shared" si="0"/>
        <v>1</v>
      </c>
      <c r="K5" s="315" t="e">
        <f t="shared" si="0"/>
        <v>#N/A</v>
      </c>
      <c r="L5" s="315" t="e">
        <f t="shared" si="0"/>
        <v>#N/A</v>
      </c>
      <c r="M5" s="315" t="e">
        <f t="shared" si="0"/>
        <v>#N/A</v>
      </c>
      <c r="N5" s="315" t="e">
        <f t="shared" si="0"/>
        <v>#N/A</v>
      </c>
      <c r="O5" s="315" t="e">
        <f t="shared" si="0"/>
        <v>#N/A</v>
      </c>
      <c r="P5" s="315" t="e">
        <f t="shared" si="0"/>
        <v>#N/A</v>
      </c>
      <c r="Q5" s="315" t="e">
        <f t="shared" si="0"/>
        <v>#N/A</v>
      </c>
      <c r="R5" s="315">
        <f t="shared" si="0"/>
        <v>2</v>
      </c>
      <c r="S5" s="315" t="e">
        <f t="shared" si="0"/>
        <v>#N/A</v>
      </c>
      <c r="T5" s="315" t="e">
        <f t="shared" si="1"/>
        <v>#N/A</v>
      </c>
      <c r="U5" s="315" t="e">
        <f t="shared" si="1"/>
        <v>#N/A</v>
      </c>
      <c r="V5" s="315" t="e">
        <f t="shared" si="1"/>
        <v>#N/A</v>
      </c>
      <c r="W5" s="315" t="e">
        <f t="shared" si="1"/>
        <v>#N/A</v>
      </c>
      <c r="X5" s="315" t="e">
        <f t="shared" si="1"/>
        <v>#N/A</v>
      </c>
      <c r="Y5" s="315" t="e">
        <f t="shared" si="1"/>
        <v>#N/A</v>
      </c>
      <c r="Z5" s="315" t="e">
        <f t="shared" si="1"/>
        <v>#N/A</v>
      </c>
      <c r="AA5" s="315" t="e">
        <f t="shared" si="1"/>
        <v>#N/A</v>
      </c>
      <c r="AB5" s="315">
        <f t="shared" si="1"/>
        <v>3</v>
      </c>
      <c r="AC5" s="315" t="e">
        <f t="shared" si="1"/>
        <v>#N/A</v>
      </c>
      <c r="AD5" s="315" t="e">
        <f t="shared" si="2"/>
        <v>#N/A</v>
      </c>
      <c r="AE5" s="315" t="e">
        <f t="shared" si="2"/>
        <v>#N/A</v>
      </c>
      <c r="AF5" s="315" t="e">
        <f t="shared" si="2"/>
        <v>#N/A</v>
      </c>
      <c r="AG5" s="315" t="e">
        <f t="shared" si="2"/>
        <v>#N/A</v>
      </c>
      <c r="AH5" s="315" t="e">
        <f t="shared" si="2"/>
        <v>#N/A</v>
      </c>
      <c r="AI5" s="315" t="e">
        <f t="shared" si="2"/>
        <v>#N/A</v>
      </c>
      <c r="AJ5" s="315" t="e">
        <f t="shared" si="2"/>
        <v>#N/A</v>
      </c>
      <c r="AK5" s="315" t="e">
        <f t="shared" si="2"/>
        <v>#N/A</v>
      </c>
      <c r="AL5" s="315">
        <f t="shared" si="2"/>
        <v>4</v>
      </c>
      <c r="AM5" s="315" t="e">
        <f t="shared" si="2"/>
        <v>#N/A</v>
      </c>
      <c r="AN5" s="315">
        <f t="shared" si="2"/>
        <v>5</v>
      </c>
      <c r="AO5" s="315" t="e">
        <f t="shared" si="2"/>
        <v>#N/A</v>
      </c>
      <c r="AP5" s="315" t="e">
        <f t="shared" si="2"/>
        <v>#N/A</v>
      </c>
    </row>
    <row r="6" spans="1:54">
      <c r="A6" s="315" t="s">
        <v>16</v>
      </c>
      <c r="C6" s="315" t="s">
        <v>391</v>
      </c>
      <c r="D6" s="315">
        <v>-1</v>
      </c>
      <c r="E6" s="315">
        <v>0</v>
      </c>
      <c r="F6" s="315">
        <v>1</v>
      </c>
      <c r="G6" s="315">
        <v>2</v>
      </c>
      <c r="H6" s="315">
        <v>3</v>
      </c>
      <c r="I6" s="121">
        <v>4</v>
      </c>
      <c r="J6" s="315">
        <f t="shared" ref="J6:AP6" si="3">MATCH(J$3,$E$5:$I$5,$D6)</f>
        <v>5</v>
      </c>
      <c r="K6" s="315">
        <f t="shared" si="3"/>
        <v>4</v>
      </c>
      <c r="L6" s="315">
        <f t="shared" si="3"/>
        <v>4</v>
      </c>
      <c r="M6" s="315">
        <f t="shared" si="3"/>
        <v>4</v>
      </c>
      <c r="N6" s="315">
        <f t="shared" si="3"/>
        <v>4</v>
      </c>
      <c r="O6" s="315">
        <f t="shared" si="3"/>
        <v>4</v>
      </c>
      <c r="P6" s="315">
        <f t="shared" si="3"/>
        <v>4</v>
      </c>
      <c r="Q6" s="315">
        <f t="shared" si="3"/>
        <v>4</v>
      </c>
      <c r="R6" s="315">
        <f t="shared" si="3"/>
        <v>4</v>
      </c>
      <c r="S6" s="315">
        <f t="shared" si="3"/>
        <v>3</v>
      </c>
      <c r="T6" s="315">
        <f t="shared" si="3"/>
        <v>3</v>
      </c>
      <c r="U6" s="315">
        <f t="shared" si="3"/>
        <v>3</v>
      </c>
      <c r="V6" s="315">
        <f t="shared" si="3"/>
        <v>3</v>
      </c>
      <c r="W6" s="315">
        <f t="shared" si="3"/>
        <v>3</v>
      </c>
      <c r="X6" s="315">
        <f t="shared" si="3"/>
        <v>3</v>
      </c>
      <c r="Y6" s="315">
        <f t="shared" si="3"/>
        <v>3</v>
      </c>
      <c r="Z6" s="315">
        <f t="shared" si="3"/>
        <v>3</v>
      </c>
      <c r="AA6" s="315">
        <f t="shared" si="3"/>
        <v>3</v>
      </c>
      <c r="AB6" s="315">
        <f t="shared" si="3"/>
        <v>3</v>
      </c>
      <c r="AC6" s="315">
        <f t="shared" si="3"/>
        <v>2</v>
      </c>
      <c r="AD6" s="315">
        <f t="shared" si="3"/>
        <v>2</v>
      </c>
      <c r="AE6" s="315">
        <f t="shared" si="3"/>
        <v>2</v>
      </c>
      <c r="AF6" s="315">
        <f t="shared" si="3"/>
        <v>2</v>
      </c>
      <c r="AG6" s="315">
        <f t="shared" si="3"/>
        <v>2</v>
      </c>
      <c r="AH6" s="315">
        <f t="shared" si="3"/>
        <v>2</v>
      </c>
      <c r="AI6" s="315">
        <f t="shared" si="3"/>
        <v>2</v>
      </c>
      <c r="AJ6" s="315">
        <f t="shared" si="3"/>
        <v>2</v>
      </c>
      <c r="AK6" s="315">
        <f t="shared" si="3"/>
        <v>2</v>
      </c>
      <c r="AL6" s="315">
        <f t="shared" si="3"/>
        <v>2</v>
      </c>
      <c r="AM6" s="315">
        <f t="shared" si="3"/>
        <v>1</v>
      </c>
      <c r="AN6" s="315">
        <f t="shared" si="3"/>
        <v>1</v>
      </c>
      <c r="AO6" s="315" t="e">
        <f t="shared" si="3"/>
        <v>#N/A</v>
      </c>
      <c r="AP6" s="315" t="e">
        <f t="shared" si="3"/>
        <v>#N/A</v>
      </c>
    </row>
    <row r="7" spans="1:54">
      <c r="A7" s="315" t="s">
        <v>16</v>
      </c>
      <c r="C7" s="315" t="s">
        <v>394</v>
      </c>
      <c r="I7" s="121"/>
      <c r="J7" s="5">
        <f t="shared" ref="J7:AP7" si="4">IF(ISNA(J4),-1,IF(ISNA(J6),99,IF(ISNA(J5),J4,0)))</f>
        <v>0</v>
      </c>
      <c r="K7" s="5">
        <f t="shared" si="4"/>
        <v>1</v>
      </c>
      <c r="L7" s="5">
        <f t="shared" si="4"/>
        <v>1</v>
      </c>
      <c r="M7" s="5">
        <f t="shared" si="4"/>
        <v>1</v>
      </c>
      <c r="N7" s="5">
        <f t="shared" si="4"/>
        <v>1</v>
      </c>
      <c r="O7" s="5">
        <f t="shared" si="4"/>
        <v>1</v>
      </c>
      <c r="P7" s="5">
        <f t="shared" si="4"/>
        <v>1</v>
      </c>
      <c r="Q7" s="5">
        <f t="shared" si="4"/>
        <v>1</v>
      </c>
      <c r="R7" s="5">
        <f t="shared" si="4"/>
        <v>0</v>
      </c>
      <c r="S7" s="5">
        <f t="shared" si="4"/>
        <v>2</v>
      </c>
      <c r="T7" s="5">
        <f t="shared" si="4"/>
        <v>2</v>
      </c>
      <c r="U7" s="5">
        <f t="shared" si="4"/>
        <v>2</v>
      </c>
      <c r="V7" s="5">
        <f t="shared" si="4"/>
        <v>2</v>
      </c>
      <c r="W7" s="5">
        <f t="shared" si="4"/>
        <v>2</v>
      </c>
      <c r="X7" s="5">
        <f t="shared" si="4"/>
        <v>2</v>
      </c>
      <c r="Y7" s="5">
        <f t="shared" si="4"/>
        <v>2</v>
      </c>
      <c r="Z7" s="5">
        <f t="shared" si="4"/>
        <v>2</v>
      </c>
      <c r="AA7" s="5">
        <f t="shared" si="4"/>
        <v>2</v>
      </c>
      <c r="AB7" s="5">
        <f t="shared" si="4"/>
        <v>0</v>
      </c>
      <c r="AC7" s="5">
        <f t="shared" si="4"/>
        <v>3</v>
      </c>
      <c r="AD7" s="5">
        <f t="shared" si="4"/>
        <v>3</v>
      </c>
      <c r="AE7" s="5">
        <f t="shared" si="4"/>
        <v>3</v>
      </c>
      <c r="AF7" s="5">
        <f t="shared" si="4"/>
        <v>3</v>
      </c>
      <c r="AG7" s="5">
        <f t="shared" si="4"/>
        <v>3</v>
      </c>
      <c r="AH7" s="5">
        <f t="shared" si="4"/>
        <v>3</v>
      </c>
      <c r="AI7" s="5">
        <f t="shared" si="4"/>
        <v>3</v>
      </c>
      <c r="AJ7" s="5">
        <f t="shared" si="4"/>
        <v>3</v>
      </c>
      <c r="AK7" s="5">
        <f t="shared" si="4"/>
        <v>3</v>
      </c>
      <c r="AL7" s="5">
        <f t="shared" si="4"/>
        <v>0</v>
      </c>
      <c r="AM7" s="5">
        <f t="shared" si="4"/>
        <v>4</v>
      </c>
      <c r="AN7" s="5">
        <f t="shared" si="4"/>
        <v>0</v>
      </c>
      <c r="AO7" s="5">
        <f t="shared" si="4"/>
        <v>99</v>
      </c>
      <c r="AP7" s="5">
        <f t="shared" si="4"/>
        <v>99</v>
      </c>
      <c r="AQ7" s="5"/>
      <c r="AR7" s="5"/>
      <c r="AS7" s="5"/>
      <c r="AT7" s="5"/>
      <c r="AU7" s="5"/>
      <c r="AV7" s="5"/>
    </row>
    <row r="8" spans="1:54" ht="15.75" thickBot="1">
      <c r="A8" s="315" t="s">
        <v>16</v>
      </c>
      <c r="B8" s="314"/>
      <c r="C8" s="314" t="s">
        <v>44</v>
      </c>
      <c r="D8" s="314"/>
      <c r="I8" s="121"/>
      <c r="J8" s="315"/>
    </row>
    <row r="9" spans="1:54">
      <c r="A9" s="315" t="s">
        <v>16</v>
      </c>
      <c r="C9" s="315" t="s">
        <v>41</v>
      </c>
      <c r="D9" s="315" t="s">
        <v>47</v>
      </c>
      <c r="J9" s="41"/>
      <c r="K9" s="145"/>
      <c r="L9" s="145"/>
      <c r="M9" s="145"/>
      <c r="N9" s="145"/>
      <c r="O9" s="145"/>
      <c r="P9" s="145"/>
      <c r="Q9" s="145"/>
      <c r="R9" s="145"/>
      <c r="S9" s="145"/>
      <c r="T9" s="145"/>
      <c r="U9" s="145"/>
      <c r="V9" s="145"/>
      <c r="W9" s="145"/>
      <c r="X9" s="145"/>
      <c r="Y9" s="145"/>
      <c r="Z9" s="145"/>
      <c r="AA9" s="145"/>
      <c r="AB9" s="145"/>
      <c r="AC9" s="145"/>
      <c r="AD9" s="145"/>
      <c r="AE9" s="145"/>
      <c r="AF9" s="145"/>
      <c r="AG9" s="145"/>
      <c r="AH9" s="145"/>
      <c r="AI9" s="145"/>
      <c r="AJ9" s="145"/>
      <c r="AK9" s="145"/>
      <c r="AL9" s="145"/>
      <c r="AM9" s="145"/>
      <c r="AN9" s="145"/>
      <c r="AO9" s="145"/>
      <c r="AP9" s="145"/>
      <c r="AQ9" s="145"/>
      <c r="AR9" s="145"/>
      <c r="AS9" s="145"/>
      <c r="AT9" s="145"/>
      <c r="AU9" s="145"/>
      <c r="AV9" s="145"/>
    </row>
    <row r="10" spans="1:54">
      <c r="A10" s="315" t="s">
        <v>16</v>
      </c>
      <c r="C10" s="315" t="s">
        <v>42</v>
      </c>
      <c r="D10" s="315" t="s">
        <v>47</v>
      </c>
    </row>
    <row r="11" spans="1:54">
      <c r="A11" s="315" t="s">
        <v>16</v>
      </c>
      <c r="C11" s="315" t="s">
        <v>43</v>
      </c>
      <c r="D11" s="315" t="s">
        <v>47</v>
      </c>
    </row>
    <row r="12" spans="1:54">
      <c r="A12" s="315" t="s">
        <v>16</v>
      </c>
    </row>
    <row r="13" spans="1:54" ht="18" thickBot="1">
      <c r="A13" s="315" t="s">
        <v>16</v>
      </c>
      <c r="B13" s="228"/>
      <c r="C13" s="37" t="s">
        <v>40</v>
      </c>
    </row>
    <row r="14" spans="1:54" ht="16.5" thickTop="1" thickBot="1">
      <c r="A14" s="315" t="s">
        <v>16</v>
      </c>
      <c r="C14" s="314" t="s">
        <v>46</v>
      </c>
      <c r="D14" s="315" t="s">
        <v>47</v>
      </c>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row>
    <row r="15" spans="1:54">
      <c r="A15" s="315" t="s">
        <v>16</v>
      </c>
    </row>
    <row r="16" spans="1:54" ht="15.75" thickBot="1">
      <c r="A16" s="315" t="s">
        <v>16</v>
      </c>
      <c r="C16" s="314" t="s">
        <v>57</v>
      </c>
      <c r="D16" s="314"/>
    </row>
    <row r="17" spans="1:48">
      <c r="A17" s="315" t="s">
        <v>16</v>
      </c>
      <c r="C17" s="315" t="s">
        <v>49</v>
      </c>
      <c r="D17" s="315" t="s">
        <v>48</v>
      </c>
      <c r="E17" s="315">
        <f>E22/$E$25</f>
        <v>0.50003199863472492</v>
      </c>
      <c r="F17" s="315">
        <f>F22/$F$25</f>
        <v>0.47398769619141334</v>
      </c>
      <c r="K17" s="190">
        <f t="shared" ref="K17:AP17" si="5">K22/K$25</f>
        <v>0.49674335943460585</v>
      </c>
      <c r="L17" s="190">
        <f t="shared" si="5"/>
        <v>0.48822868689454441</v>
      </c>
      <c r="M17" s="190">
        <f t="shared" si="5"/>
        <v>0.48147500627885359</v>
      </c>
      <c r="N17" s="190">
        <f t="shared" si="5"/>
        <v>0.47737656478533347</v>
      </c>
      <c r="O17" s="190">
        <f t="shared" si="5"/>
        <v>0.47023794558911891</v>
      </c>
      <c r="P17" s="190">
        <f t="shared" si="5"/>
        <v>0.46353394236211093</v>
      </c>
      <c r="Q17" s="190">
        <f t="shared" si="5"/>
        <v>0.46108769196199162</v>
      </c>
      <c r="R17" s="190">
        <f t="shared" si="5"/>
        <v>0.47398769619141334</v>
      </c>
      <c r="S17" s="190">
        <f t="shared" si="5"/>
        <v>0.48802294893321591</v>
      </c>
      <c r="T17" s="190">
        <f t="shared" si="5"/>
        <v>0.48160744524963778</v>
      </c>
      <c r="U17" s="190">
        <f t="shared" si="5"/>
        <v>0.47529731801684205</v>
      </c>
      <c r="V17" s="190">
        <f t="shared" si="5"/>
        <v>0.46895356052290854</v>
      </c>
      <c r="W17" s="190">
        <f t="shared" si="5"/>
        <v>0.46306118439391969</v>
      </c>
      <c r="X17" s="190">
        <f t="shared" si="5"/>
        <v>0.4555068405538002</v>
      </c>
      <c r="Y17" s="190">
        <f t="shared" si="5"/>
        <v>0.44739940977174142</v>
      </c>
      <c r="Z17" s="190">
        <f t="shared" si="5"/>
        <v>0.43930961502928784</v>
      </c>
      <c r="AA17" s="190">
        <f t="shared" si="5"/>
        <v>0.43052643049427908</v>
      </c>
      <c r="AB17" s="190">
        <f t="shared" si="5"/>
        <v>0.42216842844292707</v>
      </c>
      <c r="AC17" s="190">
        <f t="shared" si="5"/>
        <v>0.4135496006513194</v>
      </c>
      <c r="AD17" s="190">
        <f t="shared" si="5"/>
        <v>0.40521721442606407</v>
      </c>
      <c r="AE17" s="190">
        <f t="shared" si="5"/>
        <v>0.39683874390439688</v>
      </c>
      <c r="AF17" s="190">
        <f t="shared" si="5"/>
        <v>0.38789767317654972</v>
      </c>
      <c r="AG17" s="190">
        <f t="shared" si="5"/>
        <v>0.37860953755372506</v>
      </c>
      <c r="AH17" s="190">
        <f t="shared" si="5"/>
        <v>0.3694539819598327</v>
      </c>
      <c r="AI17" s="190">
        <f t="shared" si="5"/>
        <v>0.36068644391934845</v>
      </c>
      <c r="AJ17" s="190">
        <f t="shared" si="5"/>
        <v>0.35227821304680329</v>
      </c>
      <c r="AK17" s="190">
        <f t="shared" si="5"/>
        <v>0.34415250138874304</v>
      </c>
      <c r="AL17" s="190">
        <f t="shared" si="5"/>
        <v>0.33605734555939903</v>
      </c>
      <c r="AM17" s="190">
        <f t="shared" si="5"/>
        <v>0.29595650938485324</v>
      </c>
      <c r="AN17" s="190">
        <f t="shared" si="5"/>
        <v>0.25945257650105208</v>
      </c>
      <c r="AO17" s="190">
        <f t="shared" si="5"/>
        <v>0.25945257650105208</v>
      </c>
      <c r="AP17" s="190">
        <f t="shared" si="5"/>
        <v>0.25945257650105208</v>
      </c>
      <c r="AQ17" s="190"/>
      <c r="AR17" s="190"/>
      <c r="AS17" s="190"/>
      <c r="AT17" s="190"/>
      <c r="AU17" s="190"/>
      <c r="AV17" s="190"/>
    </row>
    <row r="18" spans="1:48">
      <c r="A18" s="315" t="s">
        <v>16</v>
      </c>
      <c r="C18" s="315" t="s">
        <v>51</v>
      </c>
      <c r="D18" s="315" t="s">
        <v>48</v>
      </c>
      <c r="E18" s="315">
        <f>E23/$E$25</f>
        <v>0.30001919918083497</v>
      </c>
      <c r="F18" s="315">
        <f>F23/$F$25</f>
        <v>0.32375163521226069</v>
      </c>
      <c r="K18" s="190">
        <f t="shared" ref="K18:AP18" si="6">K23/K$25</f>
        <v>0.29644362454654938</v>
      </c>
      <c r="L18" s="190">
        <f t="shared" si="6"/>
        <v>0.29989890368726985</v>
      </c>
      <c r="M18" s="190">
        <f t="shared" si="6"/>
        <v>0.30319595185227066</v>
      </c>
      <c r="N18" s="190">
        <f t="shared" si="6"/>
        <v>0.30522800836475233</v>
      </c>
      <c r="O18" s="190">
        <f t="shared" si="6"/>
        <v>0.30605482173653453</v>
      </c>
      <c r="P18" s="190">
        <f t="shared" si="6"/>
        <v>0.30932373575545169</v>
      </c>
      <c r="Q18" s="190">
        <f t="shared" si="6"/>
        <v>0.31228368417755731</v>
      </c>
      <c r="R18" s="190">
        <f t="shared" si="6"/>
        <v>0.32375163521226069</v>
      </c>
      <c r="S18" s="190">
        <f t="shared" si="6"/>
        <v>0.30681637697278535</v>
      </c>
      <c r="T18" s="190">
        <f t="shared" si="6"/>
        <v>0.30899051207902728</v>
      </c>
      <c r="U18" s="190">
        <f t="shared" si="6"/>
        <v>0.31073061540438202</v>
      </c>
      <c r="V18" s="190">
        <f t="shared" si="6"/>
        <v>0.31288111144304859</v>
      </c>
      <c r="W18" s="190">
        <f t="shared" si="6"/>
        <v>0.31491255593475925</v>
      </c>
      <c r="X18" s="190">
        <f t="shared" si="6"/>
        <v>0.31628939074725432</v>
      </c>
      <c r="Y18" s="190">
        <f t="shared" si="6"/>
        <v>0.31847593645969752</v>
      </c>
      <c r="Z18" s="190">
        <f t="shared" si="6"/>
        <v>0.32044792827503243</v>
      </c>
      <c r="AA18" s="190">
        <f t="shared" si="6"/>
        <v>0.32217124766279376</v>
      </c>
      <c r="AB18" s="190">
        <f t="shared" si="6"/>
        <v>0.32472047549482769</v>
      </c>
      <c r="AC18" s="190">
        <f t="shared" si="6"/>
        <v>0.32634303861147274</v>
      </c>
      <c r="AD18" s="190">
        <f t="shared" si="6"/>
        <v>0.32889986401097365</v>
      </c>
      <c r="AE18" s="190">
        <f t="shared" si="6"/>
        <v>0.33081335717795152</v>
      </c>
      <c r="AF18" s="190">
        <f t="shared" si="6"/>
        <v>0.33290577410474198</v>
      </c>
      <c r="AG18" s="190">
        <f t="shared" si="6"/>
        <v>0.3350106446536113</v>
      </c>
      <c r="AH18" s="190">
        <f t="shared" si="6"/>
        <v>0.33736398356282593</v>
      </c>
      <c r="AI18" s="190">
        <f t="shared" si="6"/>
        <v>0.33948242167787424</v>
      </c>
      <c r="AJ18" s="190">
        <f t="shared" si="6"/>
        <v>0.34168685597597181</v>
      </c>
      <c r="AK18" s="190">
        <f t="shared" si="6"/>
        <v>0.34372210155141747</v>
      </c>
      <c r="AL18" s="190">
        <f t="shared" si="6"/>
        <v>0.34569570470434441</v>
      </c>
      <c r="AM18" s="190">
        <f t="shared" si="6"/>
        <v>0.35353162196051169</v>
      </c>
      <c r="AN18" s="190">
        <f t="shared" si="6"/>
        <v>0.36180135191051532</v>
      </c>
      <c r="AO18" s="190">
        <f t="shared" si="6"/>
        <v>0.36180135191051532</v>
      </c>
      <c r="AP18" s="190">
        <f t="shared" si="6"/>
        <v>0.36180135191051532</v>
      </c>
      <c r="AQ18" s="190"/>
      <c r="AR18" s="190"/>
      <c r="AS18" s="190"/>
      <c r="AT18" s="190"/>
      <c r="AU18" s="190"/>
      <c r="AV18" s="190"/>
    </row>
    <row r="19" spans="1:48">
      <c r="A19" s="315" t="s">
        <v>16</v>
      </c>
      <c r="C19" s="315" t="s">
        <v>50</v>
      </c>
      <c r="D19" s="315" t="s">
        <v>48</v>
      </c>
      <c r="E19" s="315">
        <f>E24/$E$25</f>
        <v>0.19994880218444014</v>
      </c>
      <c r="F19" s="315">
        <f>F24/$F$25</f>
        <v>0.20226066859632597</v>
      </c>
      <c r="K19" s="190">
        <f t="shared" ref="K19:AP19" si="7">K24/K$25</f>
        <v>0.20681301601884478</v>
      </c>
      <c r="L19" s="190">
        <f t="shared" si="7"/>
        <v>0.21187240941818569</v>
      </c>
      <c r="M19" s="190">
        <f t="shared" si="7"/>
        <v>0.21532904186887566</v>
      </c>
      <c r="N19" s="190">
        <f t="shared" si="7"/>
        <v>0.21739542684991425</v>
      </c>
      <c r="O19" s="190">
        <f t="shared" si="7"/>
        <v>0.22370723267434656</v>
      </c>
      <c r="P19" s="190">
        <f t="shared" si="7"/>
        <v>0.22714232188243746</v>
      </c>
      <c r="Q19" s="190">
        <f t="shared" si="7"/>
        <v>0.22662862386045102</v>
      </c>
      <c r="R19" s="190">
        <f t="shared" si="7"/>
        <v>0.20226066859632597</v>
      </c>
      <c r="S19" s="190">
        <f t="shared" si="7"/>
        <v>0.20516067409399877</v>
      </c>
      <c r="T19" s="190">
        <f t="shared" si="7"/>
        <v>0.20940204267133486</v>
      </c>
      <c r="U19" s="190">
        <f t="shared" si="7"/>
        <v>0.21397206657877588</v>
      </c>
      <c r="V19" s="190">
        <f t="shared" si="7"/>
        <v>0.21816532803404284</v>
      </c>
      <c r="W19" s="190">
        <f t="shared" si="7"/>
        <v>0.22202625967132111</v>
      </c>
      <c r="X19" s="190">
        <f t="shared" si="7"/>
        <v>0.22820376869894543</v>
      </c>
      <c r="Y19" s="190">
        <f t="shared" si="7"/>
        <v>0.23412465376856106</v>
      </c>
      <c r="Z19" s="190">
        <f t="shared" si="7"/>
        <v>0.24024245669567973</v>
      </c>
      <c r="AA19" s="190">
        <f t="shared" si="7"/>
        <v>0.24730232184292697</v>
      </c>
      <c r="AB19" s="190">
        <f t="shared" si="7"/>
        <v>0.2531110960622453</v>
      </c>
      <c r="AC19" s="190">
        <f t="shared" si="7"/>
        <v>0.26010736073720786</v>
      </c>
      <c r="AD19" s="190">
        <f t="shared" si="7"/>
        <v>0.26588292156296223</v>
      </c>
      <c r="AE19" s="190">
        <f t="shared" si="7"/>
        <v>0.27234789891765165</v>
      </c>
      <c r="AF19" s="190">
        <f t="shared" si="7"/>
        <v>0.2791965527187083</v>
      </c>
      <c r="AG19" s="190">
        <f t="shared" si="7"/>
        <v>0.28637981779266364</v>
      </c>
      <c r="AH19" s="190">
        <f t="shared" si="7"/>
        <v>0.29318203447734137</v>
      </c>
      <c r="AI19" s="190">
        <f t="shared" si="7"/>
        <v>0.29983113440277731</v>
      </c>
      <c r="AJ19" s="190">
        <f t="shared" si="7"/>
        <v>0.30603493097722489</v>
      </c>
      <c r="AK19" s="190">
        <f t="shared" si="7"/>
        <v>0.31212539705983949</v>
      </c>
      <c r="AL19" s="190">
        <f t="shared" si="7"/>
        <v>0.31824694973625656</v>
      </c>
      <c r="AM19" s="190">
        <f t="shared" si="7"/>
        <v>0.35051186865463507</v>
      </c>
      <c r="AN19" s="190">
        <f t="shared" si="7"/>
        <v>0.3787460715884326</v>
      </c>
      <c r="AO19" s="190">
        <f t="shared" si="7"/>
        <v>0.3787460715884326</v>
      </c>
      <c r="AP19" s="190">
        <f t="shared" si="7"/>
        <v>0.3787460715884326</v>
      </c>
      <c r="AQ19" s="190"/>
      <c r="AR19" s="190"/>
      <c r="AS19" s="190"/>
      <c r="AT19" s="190"/>
      <c r="AU19" s="190"/>
      <c r="AV19" s="190"/>
    </row>
    <row r="20" spans="1:48">
      <c r="A20" s="315" t="s">
        <v>16</v>
      </c>
      <c r="K20" s="5"/>
      <c r="Q20" s="5"/>
    </row>
    <row r="21" spans="1:48" ht="15.75" thickBot="1">
      <c r="A21" s="315" t="s">
        <v>16</v>
      </c>
      <c r="B21" s="314" t="s">
        <v>56</v>
      </c>
      <c r="D21" s="314"/>
      <c r="E21" s="315">
        <v>2012</v>
      </c>
      <c r="F21" s="315">
        <v>2020</v>
      </c>
      <c r="G21" s="315">
        <v>2030</v>
      </c>
      <c r="H21" s="315">
        <v>2040</v>
      </c>
      <c r="I21" s="315">
        <v>2050</v>
      </c>
      <c r="J21" s="40">
        <f>MATCH(J3,Drivers!$C$5:$AG$5,0)</f>
        <v>1</v>
      </c>
      <c r="K21" s="40">
        <f>MATCH(K3,Drivers!$C$5:$AG$5,0)</f>
        <v>2</v>
      </c>
      <c r="L21" s="40">
        <f>MATCH(L3,Drivers!$C$5:$AG$5,0)</f>
        <v>3</v>
      </c>
      <c r="M21" s="40">
        <f>MATCH(M3,Drivers!$C$5:$AG$5,0)</f>
        <v>4</v>
      </c>
      <c r="N21" s="40">
        <f>MATCH(N3,Drivers!$C$5:$AG$5,0)</f>
        <v>5</v>
      </c>
      <c r="O21" s="40">
        <f>MATCH(O3,Drivers!$C$5:$AG$5,0)</f>
        <v>6</v>
      </c>
      <c r="P21" s="40">
        <f>MATCH(P3,Drivers!$C$5:$AG$5,0)</f>
        <v>7</v>
      </c>
      <c r="Q21" s="40">
        <f>MATCH(Q3,Drivers!$C$5:$AG$5,0)</f>
        <v>8</v>
      </c>
      <c r="R21" s="40">
        <f>MATCH(R3,Drivers!$C$5:$AG$5,0)</f>
        <v>9</v>
      </c>
      <c r="S21" s="40">
        <f>MATCH(S3,Drivers!$C$5:$AG$5,0)</f>
        <v>10</v>
      </c>
      <c r="T21" s="40">
        <f>MATCH(T3,Drivers!$C$5:$AG$5,0)</f>
        <v>11</v>
      </c>
      <c r="U21" s="40">
        <f>MATCH(U3,Drivers!$C$5:$AG$5,0)</f>
        <v>12</v>
      </c>
      <c r="V21" s="40">
        <f>MATCH(V3,Drivers!$C$5:$AG$5,0)</f>
        <v>13</v>
      </c>
      <c r="W21" s="40">
        <f>MATCH(W3,Drivers!$C$5:$AG$5,0)</f>
        <v>14</v>
      </c>
      <c r="X21" s="40">
        <f>MATCH(X3,Drivers!$C$5:$AG$5,0)</f>
        <v>15</v>
      </c>
      <c r="Y21" s="40">
        <f>MATCH(Y3,Drivers!$C$5:$AG$5,0)</f>
        <v>16</v>
      </c>
      <c r="Z21" s="40">
        <f>MATCH(Z3,Drivers!$C$5:$AG$5,0)</f>
        <v>17</v>
      </c>
      <c r="AA21" s="40">
        <f>MATCH(AA3,Drivers!$C$5:$AG$5,0)</f>
        <v>18</v>
      </c>
      <c r="AB21" s="40">
        <f>MATCH(AB3,Drivers!$C$5:$AG$5,0)</f>
        <v>19</v>
      </c>
      <c r="AC21" s="40">
        <f>MATCH(AC3,Drivers!$C$5:$AG$5,0)</f>
        <v>20</v>
      </c>
      <c r="AD21" s="40">
        <f>MATCH(AD3,Drivers!$C$5:$AG$5,0)</f>
        <v>21</v>
      </c>
      <c r="AE21" s="40">
        <f>MATCH(AE3,Drivers!$C$5:$AG$5,0)</f>
        <v>22</v>
      </c>
      <c r="AF21" s="40">
        <f>MATCH(AF3,Drivers!$C$5:$AG$5,0)</f>
        <v>23</v>
      </c>
      <c r="AG21" s="40">
        <f>MATCH(AG3,Drivers!$C$5:$AG$5,0)</f>
        <v>24</v>
      </c>
      <c r="AH21" s="40">
        <f>MATCH(AH3,Drivers!$C$5:$AG$5,0)</f>
        <v>25</v>
      </c>
      <c r="AI21" s="40">
        <f>MATCH(AI3,Drivers!$C$5:$AG$5,0)</f>
        <v>26</v>
      </c>
      <c r="AJ21" s="40">
        <f>MATCH(AJ3,Drivers!$C$5:$AG$5,0)</f>
        <v>27</v>
      </c>
      <c r="AK21" s="40">
        <f>MATCH(AK3,Drivers!$C$5:$AG$5,0)</f>
        <v>28</v>
      </c>
      <c r="AL21" s="40">
        <f>MATCH(AL3,Drivers!$C$5:$AG$5,0)</f>
        <v>29</v>
      </c>
      <c r="AM21" s="40">
        <f>MATCH(AM3,Drivers!$C$5:$AG$5,0)</f>
        <v>30</v>
      </c>
      <c r="AN21" s="40">
        <f>MATCH(AN3,Drivers!$C$5:$AG$5,0)</f>
        <v>31</v>
      </c>
      <c r="AO21" s="7">
        <f>AN21+1</f>
        <v>32</v>
      </c>
      <c r="AP21" s="7">
        <f>AO21+1</f>
        <v>33</v>
      </c>
      <c r="AQ21" s="7"/>
      <c r="AR21" s="7"/>
      <c r="AS21" s="7"/>
      <c r="AT21" s="7"/>
      <c r="AU21" s="7"/>
      <c r="AV21" s="7"/>
    </row>
    <row r="22" spans="1:48">
      <c r="A22" s="315" t="s">
        <v>16</v>
      </c>
      <c r="B22" s="315">
        <v>1</v>
      </c>
      <c r="C22" s="315" t="s">
        <v>7</v>
      </c>
      <c r="D22" s="315" t="s">
        <v>47</v>
      </c>
      <c r="E22" s="10">
        <f t="shared" ref="E22:I24" si="8">SUMIF($J$3:$AV$3,E$21,$J22:$AV22)</f>
        <v>26.164390783448656</v>
      </c>
      <c r="F22" s="10">
        <f t="shared" si="8"/>
        <v>28.111589337230718</v>
      </c>
      <c r="G22" s="10">
        <f t="shared" si="8"/>
        <v>27.84457886154026</v>
      </c>
      <c r="H22" s="10">
        <f t="shared" si="8"/>
        <v>23.986195872849844</v>
      </c>
      <c r="I22" s="24">
        <f t="shared" si="8"/>
        <v>19.593316062021987</v>
      </c>
      <c r="J22" s="10">
        <f>INDEX(Drivers!$C$31:$AG$33,$B22,J$21)</f>
        <v>26.164390783448656</v>
      </c>
      <c r="K22" s="10">
        <f>INDEX(Drivers!$C$31:$AG$33,$B22,K$21)</f>
        <v>26.379251330070801</v>
      </c>
      <c r="L22" s="10">
        <f>INDEX(Drivers!$C$31:$AG$33,$B22,L$21)</f>
        <v>26.321563508905001</v>
      </c>
      <c r="M22" s="10">
        <f>INDEX(Drivers!$C$31:$AG$33,$B22,M$21)</f>
        <v>26.360993218184007</v>
      </c>
      <c r="N22" s="10">
        <f>INDEX(Drivers!$C$31:$AG$33,$B22,N$21)</f>
        <v>26.55165611504972</v>
      </c>
      <c r="O22" s="10">
        <f>INDEX(Drivers!$C$31:$AG$33,$B22,O$21)</f>
        <v>26.578764727799523</v>
      </c>
      <c r="P22" s="10">
        <f>INDEX(Drivers!$C$31:$AG$33,$B22,P$21)</f>
        <v>26.623535799649542</v>
      </c>
      <c r="Q22" s="10">
        <f>INDEX(Drivers!$C$31:$AG$33,$B22,Q$21)</f>
        <v>26.911307025844376</v>
      </c>
      <c r="R22" s="10">
        <f>INDEX(Drivers!$C$31:$AG$33,$B22,R$21)</f>
        <v>28.111589337230718</v>
      </c>
      <c r="S22" s="10">
        <f>INDEX(Drivers!$C$31:$AG$33,$B22,S$21)</f>
        <v>29.277268001984922</v>
      </c>
      <c r="T22" s="10">
        <f>INDEX(Drivers!$C$31:$AG$33,$B22,T$21)</f>
        <v>29.225063761101811</v>
      </c>
      <c r="U22" s="10">
        <f>INDEX(Drivers!$C$31:$AG$33,$B22,U$21)</f>
        <v>29.174243991646591</v>
      </c>
      <c r="V22" s="10">
        <f>INDEX(Drivers!$C$31:$AG$33,$B22,V$21)</f>
        <v>29.116291351858223</v>
      </c>
      <c r="W22" s="10">
        <f>INDEX(Drivers!$C$31:$AG$33,$B22,W$21)</f>
        <v>29.081484310034714</v>
      </c>
      <c r="X22" s="10">
        <f>INDEX(Drivers!$C$31:$AG$33,$B22,X$21)</f>
        <v>28.888729098492881</v>
      </c>
      <c r="Y22" s="10">
        <f>INDEX(Drivers!$C$31:$AG$33,$B22,Y$21)</f>
        <v>28.653935704390594</v>
      </c>
      <c r="Z22" s="10">
        <f>INDEX(Drivers!$C$31:$AG$33,$B22,Z$21)</f>
        <v>28.412858344089109</v>
      </c>
      <c r="AA22" s="10">
        <f>INDEX(Drivers!$C$31:$AG$33,$B22,AA$21)</f>
        <v>28.11896804068763</v>
      </c>
      <c r="AB22" s="10">
        <f>INDEX(Drivers!$C$31:$AG$33,$B22,AB$21)</f>
        <v>27.84457886154026</v>
      </c>
      <c r="AC22" s="10">
        <f>INDEX(Drivers!$C$31:$AG$33,$B22,AC$21)</f>
        <v>27.508896452943109</v>
      </c>
      <c r="AD22" s="10">
        <f>INDEX(Drivers!$C$31:$AG$33,$B22,AD$21)</f>
        <v>27.184672818633722</v>
      </c>
      <c r="AE22" s="10">
        <f>INDEX(Drivers!$C$31:$AG$33,$B22,AE$21)</f>
        <v>26.849793555081213</v>
      </c>
      <c r="AF22" s="10">
        <f>INDEX(Drivers!$C$31:$AG$33,$B22,AF$21)</f>
        <v>26.468828487558245</v>
      </c>
      <c r="AG22" s="10">
        <f>INDEX(Drivers!$C$31:$AG$33,$B22,AG$21)</f>
        <v>26.055520678280907</v>
      </c>
      <c r="AH22" s="10">
        <f>INDEX(Drivers!$C$31:$AG$33,$B22,AH$21)</f>
        <v>25.611588375949609</v>
      </c>
      <c r="AI22" s="10">
        <f>INDEX(Drivers!$C$31:$AG$33,$B22,AI$21)</f>
        <v>25.186854714664566</v>
      </c>
      <c r="AJ22" s="10">
        <f>INDEX(Drivers!$C$31:$AG$33,$B22,AJ$21)</f>
        <v>24.779803437377858</v>
      </c>
      <c r="AK22" s="10">
        <f>INDEX(Drivers!$C$31:$AG$33,$B22,AK$21)</f>
        <v>24.385460327352369</v>
      </c>
      <c r="AL22" s="10">
        <f>INDEX(Drivers!$C$31:$AG$33,$B22,AL$21)</f>
        <v>23.986195872849844</v>
      </c>
      <c r="AM22" s="10">
        <f>INDEX(Drivers!$C$31:$AG$33,$B22,AM$21)</f>
        <v>21.788183856657625</v>
      </c>
      <c r="AN22" s="10">
        <f>INDEX(Drivers!$C$31:$AG$33,$B22,AN$21)</f>
        <v>19.593316062021987</v>
      </c>
      <c r="AO22" s="10">
        <f t="shared" ref="AO22:AP24" si="9">AN22</f>
        <v>19.593316062021987</v>
      </c>
      <c r="AP22" s="10">
        <f t="shared" si="9"/>
        <v>19.593316062021987</v>
      </c>
      <c r="AQ22" s="10"/>
      <c r="AR22" s="10"/>
      <c r="AS22" s="10"/>
      <c r="AT22" s="10"/>
      <c r="AU22" s="10"/>
      <c r="AV22" s="10"/>
    </row>
    <row r="23" spans="1:48">
      <c r="A23" s="315" t="s">
        <v>16</v>
      </c>
      <c r="B23" s="315">
        <v>2</v>
      </c>
      <c r="C23" s="315" t="s">
        <v>8</v>
      </c>
      <c r="D23" s="315" t="s">
        <v>47</v>
      </c>
      <c r="E23" s="10">
        <f t="shared" si="8"/>
        <v>15.698634470069196</v>
      </c>
      <c r="F23" s="10">
        <f t="shared" si="8"/>
        <v>19.201285369797056</v>
      </c>
      <c r="G23" s="10">
        <f t="shared" si="8"/>
        <v>21.41729290657965</v>
      </c>
      <c r="H23" s="10">
        <f t="shared" si="8"/>
        <v>24.674136706158219</v>
      </c>
      <c r="I23" s="24">
        <f t="shared" si="8"/>
        <v>27.322481569655267</v>
      </c>
      <c r="J23" s="10">
        <f>INDEX(Drivers!$C$31:$AG$33,$B23,J$21)</f>
        <v>15.698634470069196</v>
      </c>
      <c r="K23" s="10">
        <f>INDEX(Drivers!$C$31:$AG$33,$B23,K$21)</f>
        <v>15.74245680105571</v>
      </c>
      <c r="L23" s="10">
        <f>INDEX(Drivers!$C$31:$AG$33,$B23,L$21)</f>
        <v>16.168259366046819</v>
      </c>
      <c r="M23" s="10">
        <f>INDEX(Drivers!$C$31:$AG$33,$B23,M$21)</f>
        <v>16.60012737178209</v>
      </c>
      <c r="N23" s="10">
        <f>INDEX(Drivers!$C$31:$AG$33,$B23,N$21)</f>
        <v>16.976763654970718</v>
      </c>
      <c r="O23" s="10">
        <f>INDEX(Drivers!$C$31:$AG$33,$B23,O$21)</f>
        <v>17.298814732088275</v>
      </c>
      <c r="P23" s="10">
        <f>INDEX(Drivers!$C$31:$AG$33,$B23,P$21)</f>
        <v>17.766318277795556</v>
      </c>
      <c r="Q23" s="10">
        <f>INDEX(Drivers!$C$31:$AG$33,$B23,Q$21)</f>
        <v>18.226385675800731</v>
      </c>
      <c r="R23" s="10">
        <f>INDEX(Drivers!$C$31:$AG$33,$B23,R$21)</f>
        <v>19.201285369797056</v>
      </c>
      <c r="S23" s="10">
        <f>INDEX(Drivers!$C$31:$AG$33,$B23,S$21)</f>
        <v>18.406399362296234</v>
      </c>
      <c r="T23" s="10">
        <f>INDEX(Drivers!$C$31:$AG$33,$B23,T$21)</f>
        <v>18.750265400079719</v>
      </c>
      <c r="U23" s="10">
        <f>INDEX(Drivers!$C$31:$AG$33,$B23,U$21)</f>
        <v>19.072968531164133</v>
      </c>
      <c r="V23" s="10">
        <f>INDEX(Drivers!$C$31:$AG$33,$B23,V$21)</f>
        <v>19.426097520426012</v>
      </c>
      <c r="W23" s="10">
        <f>INDEX(Drivers!$C$31:$AG$33,$B23,W$21)</f>
        <v>19.777353108177905</v>
      </c>
      <c r="X23" s="10">
        <f>INDEX(Drivers!$C$31:$AG$33,$B23,X$21)</f>
        <v>20.059410117564614</v>
      </c>
      <c r="Y23" s="10">
        <f>INDEX(Drivers!$C$31:$AG$33,$B23,Y$21)</f>
        <v>20.396962551576763</v>
      </c>
      <c r="Z23" s="10">
        <f>INDEX(Drivers!$C$31:$AG$33,$B23,Z$21)</f>
        <v>20.725341037956394</v>
      </c>
      <c r="AA23" s="10">
        <f>INDEX(Drivers!$C$31:$AG$33,$B23,AA$21)</f>
        <v>21.041967170884149</v>
      </c>
      <c r="AB23" s="10">
        <f>INDEX(Drivers!$C$31:$AG$33,$B23,AB$21)</f>
        <v>21.41729290657965</v>
      </c>
      <c r="AC23" s="10">
        <f>INDEX(Drivers!$C$31:$AG$33,$B23,AC$21)</f>
        <v>21.708005141736258</v>
      </c>
      <c r="AD23" s="10">
        <f>INDEX(Drivers!$C$31:$AG$33,$B23,AD$21)</f>
        <v>22.064796052396794</v>
      </c>
      <c r="AE23" s="10">
        <f>INDEX(Drivers!$C$31:$AG$33,$B23,AE$21)</f>
        <v>22.382568441026983</v>
      </c>
      <c r="AF23" s="10">
        <f>INDEX(Drivers!$C$31:$AG$33,$B23,AF$21)</f>
        <v>22.716366832356989</v>
      </c>
      <c r="AG23" s="10">
        <f>INDEX(Drivers!$C$31:$AG$33,$B23,AG$21)</f>
        <v>23.055089514161406</v>
      </c>
      <c r="AH23" s="10">
        <f>INDEX(Drivers!$C$31:$AG$33,$B23,AH$21)</f>
        <v>23.387019498469286</v>
      </c>
      <c r="AI23" s="10">
        <f>INDEX(Drivers!$C$31:$AG$33,$B23,AI$21)</f>
        <v>23.706170767246938</v>
      </c>
      <c r="AJ23" s="10">
        <f>INDEX(Drivers!$C$31:$AG$33,$B23,AJ$21)</f>
        <v>24.034790726882992</v>
      </c>
      <c r="AK23" s="10">
        <f>INDEX(Drivers!$C$31:$AG$33,$B23,AK$21)</f>
        <v>24.35496367800172</v>
      </c>
      <c r="AL23" s="10">
        <f>INDEX(Drivers!$C$31:$AG$33,$B23,AL$21)</f>
        <v>24.674136706158219</v>
      </c>
      <c r="AM23" s="10">
        <f>INDEX(Drivers!$C$31:$AG$33,$B23,AM$21)</f>
        <v>26.026837505376491</v>
      </c>
      <c r="AN23" s="10">
        <f>INDEX(Drivers!$C$31:$AG$33,$B23,AN$21)</f>
        <v>27.322481569655267</v>
      </c>
      <c r="AO23" s="10">
        <f t="shared" si="9"/>
        <v>27.322481569655267</v>
      </c>
      <c r="AP23" s="10">
        <f t="shared" si="9"/>
        <v>27.322481569655267</v>
      </c>
      <c r="AQ23" s="10"/>
      <c r="AR23" s="10"/>
      <c r="AS23" s="10"/>
      <c r="AT23" s="10"/>
      <c r="AU23" s="10"/>
      <c r="AV23" s="10"/>
    </row>
    <row r="24" spans="1:48">
      <c r="A24" s="315" t="s">
        <v>16</v>
      </c>
      <c r="B24" s="315">
        <v>3</v>
      </c>
      <c r="C24" s="315" t="s">
        <v>406</v>
      </c>
      <c r="D24" s="315" t="s">
        <v>47</v>
      </c>
      <c r="E24" s="10">
        <f t="shared" si="8"/>
        <v>10.46240762855223</v>
      </c>
      <c r="F24" s="10">
        <f t="shared" si="8"/>
        <v>11.995815292972233</v>
      </c>
      <c r="G24" s="10">
        <f t="shared" si="8"/>
        <v>16.694218231880097</v>
      </c>
      <c r="H24" s="10">
        <f t="shared" si="8"/>
        <v>22.714973420991928</v>
      </c>
      <c r="I24" s="24">
        <f t="shared" si="8"/>
        <v>28.602111368322735</v>
      </c>
      <c r="J24" s="10">
        <f>INDEX(Drivers!$C$31:$AG$33,$B24,J$21)</f>
        <v>10.46240762855223</v>
      </c>
      <c r="K24" s="10">
        <f>INDEX(Drivers!$C$31:$AG$33,$B24,K$21)</f>
        <v>10.98267832729683</v>
      </c>
      <c r="L24" s="10">
        <f>INDEX(Drivers!$C$31:$AG$33,$B24,L$21)</f>
        <v>11.422542816477451</v>
      </c>
      <c r="M24" s="10">
        <f>INDEX(Drivers!$C$31:$AG$33,$B24,M$21)</f>
        <v>11.789370867355018</v>
      </c>
      <c r="N24" s="10">
        <f>INDEX(Drivers!$C$31:$AG$33,$B24,N$21)</f>
        <v>12.091520699804388</v>
      </c>
      <c r="O24" s="10">
        <f>INDEX(Drivers!$C$31:$AG$33,$B24,O$21)</f>
        <v>12.644368581760297</v>
      </c>
      <c r="P24" s="10">
        <f>INDEX(Drivers!$C$31:$AG$33,$B24,P$21)</f>
        <v>13.046146539854554</v>
      </c>
      <c r="Q24" s="10">
        <f>INDEX(Drivers!$C$31:$AG$33,$B24,Q$21)</f>
        <v>13.227142220174334</v>
      </c>
      <c r="R24" s="10">
        <f>INDEX(Drivers!$C$31:$AG$33,$B24,R$21)</f>
        <v>11.995815292972233</v>
      </c>
      <c r="S24" s="10">
        <f>INDEX(Drivers!$C$31:$AG$33,$B24,S$21)</f>
        <v>12.307913084923102</v>
      </c>
      <c r="T24" s="10">
        <f>INDEX(Drivers!$C$31:$AG$33,$B24,T$21)</f>
        <v>12.707004655217851</v>
      </c>
      <c r="U24" s="10">
        <f>INDEX(Drivers!$C$31:$AG$33,$B24,U$21)</f>
        <v>13.133828113763638</v>
      </c>
      <c r="V24" s="10">
        <f>INDEX(Drivers!$C$31:$AG$33,$B24,V$21)</f>
        <v>13.545403614869469</v>
      </c>
      <c r="W24" s="10">
        <f>INDEX(Drivers!$C$31:$AG$33,$B24,W$21)</f>
        <v>13.94384458178741</v>
      </c>
      <c r="X24" s="10">
        <f>INDEX(Drivers!$C$31:$AG$33,$B24,X$21)</f>
        <v>14.472926125947646</v>
      </c>
      <c r="Y24" s="10">
        <f>INDEX(Drivers!$C$31:$AG$33,$B24,Y$21)</f>
        <v>14.994639307458437</v>
      </c>
      <c r="Z24" s="10">
        <f>INDEX(Drivers!$C$31:$AG$33,$B24,Z$21)</f>
        <v>15.53795923605095</v>
      </c>
      <c r="AA24" s="10">
        <f>INDEX(Drivers!$C$31:$AG$33,$B24,AA$21)</f>
        <v>16.152053838612154</v>
      </c>
      <c r="AB24" s="10">
        <f>INDEX(Drivers!$C$31:$AG$33,$B24,AB$21)</f>
        <v>16.694218231880097</v>
      </c>
      <c r="AC24" s="10">
        <f>INDEX(Drivers!$C$31:$AG$33,$B24,AC$21)</f>
        <v>17.302075596008297</v>
      </c>
      <c r="AD24" s="10">
        <f>INDEX(Drivers!$C$31:$AG$33,$B24,AD$21)</f>
        <v>17.837199342552591</v>
      </c>
      <c r="AE24" s="10">
        <f>INDEX(Drivers!$C$31:$AG$33,$B24,AE$21)</f>
        <v>18.426842069787259</v>
      </c>
      <c r="AF24" s="10">
        <f>INDEX(Drivers!$C$31:$AG$33,$B24,AF$21)</f>
        <v>19.051430774799929</v>
      </c>
      <c r="AG24" s="10">
        <f>INDEX(Drivers!$C$31:$AG$33,$B24,AG$21)</f>
        <v>19.708365807557694</v>
      </c>
      <c r="AH24" s="10">
        <f>INDEX(Drivers!$C$31:$AG$33,$B24,AH$21)</f>
        <v>20.324202614964648</v>
      </c>
      <c r="AI24" s="10">
        <f>INDEX(Drivers!$C$31:$AG$33,$B24,AI$21)</f>
        <v>20.937308147972544</v>
      </c>
      <c r="AJ24" s="10">
        <f>INDEX(Drivers!$C$31:$AG$33,$B24,AJ$21)</f>
        <v>21.526978262432596</v>
      </c>
      <c r="AK24" s="10">
        <f>INDEX(Drivers!$C$31:$AG$33,$B24,AK$21)</f>
        <v>22.116130077358729</v>
      </c>
      <c r="AL24" s="10">
        <f>INDEX(Drivers!$C$31:$AG$33,$B24,AL$21)</f>
        <v>22.714973420991928</v>
      </c>
      <c r="AM24" s="10">
        <f>INDEX(Drivers!$C$31:$AG$33,$B24,AM$21)</f>
        <v>25.804524637965855</v>
      </c>
      <c r="AN24" s="10">
        <f>INDEX(Drivers!$C$31:$AG$33,$B24,AN$21)</f>
        <v>28.602111368322735</v>
      </c>
      <c r="AO24" s="10">
        <f t="shared" si="9"/>
        <v>28.602111368322735</v>
      </c>
      <c r="AP24" s="10">
        <f t="shared" si="9"/>
        <v>28.602111368322735</v>
      </c>
      <c r="AQ24" s="10"/>
      <c r="AR24" s="10"/>
      <c r="AS24" s="10"/>
      <c r="AT24" s="10"/>
      <c r="AU24" s="10"/>
      <c r="AV24" s="10"/>
    </row>
    <row r="25" spans="1:48">
      <c r="A25" s="315" t="s">
        <v>16</v>
      </c>
      <c r="E25" s="47">
        <f t="shared" ref="E25:AP25" si="10">SUM(E22:E24)</f>
        <v>52.325432882070082</v>
      </c>
      <c r="F25" s="47">
        <f t="shared" si="10"/>
        <v>59.308690000000006</v>
      </c>
      <c r="G25" s="47">
        <f t="shared" si="10"/>
        <v>65.956090000000003</v>
      </c>
      <c r="H25" s="47">
        <f t="shared" si="10"/>
        <v>71.375305999999995</v>
      </c>
      <c r="I25" s="47">
        <f t="shared" si="10"/>
        <v>75.517908999999989</v>
      </c>
      <c r="J25" s="47">
        <f t="shared" si="10"/>
        <v>52.325432882070082</v>
      </c>
      <c r="K25" s="47">
        <f t="shared" si="10"/>
        <v>53.104386458423342</v>
      </c>
      <c r="L25" s="47">
        <f t="shared" si="10"/>
        <v>53.912365691429272</v>
      </c>
      <c r="M25" s="47">
        <f t="shared" si="10"/>
        <v>54.750491457321118</v>
      </c>
      <c r="N25" s="47">
        <f t="shared" si="10"/>
        <v>55.619940469824826</v>
      </c>
      <c r="O25" s="47">
        <f t="shared" si="10"/>
        <v>56.521948041648095</v>
      </c>
      <c r="P25" s="47">
        <f t="shared" si="10"/>
        <v>57.436000617299648</v>
      </c>
      <c r="Q25" s="47">
        <f t="shared" si="10"/>
        <v>58.364834921819444</v>
      </c>
      <c r="R25" s="47">
        <f t="shared" si="10"/>
        <v>59.308690000000006</v>
      </c>
      <c r="S25" s="47">
        <f t="shared" si="10"/>
        <v>59.991580449204257</v>
      </c>
      <c r="T25" s="47">
        <f t="shared" si="10"/>
        <v>60.682333816399385</v>
      </c>
      <c r="U25" s="47">
        <f t="shared" si="10"/>
        <v>61.381040636574369</v>
      </c>
      <c r="V25" s="47">
        <f t="shared" si="10"/>
        <v>62.087792487153706</v>
      </c>
      <c r="W25" s="47">
        <f t="shared" si="10"/>
        <v>62.802682000000026</v>
      </c>
      <c r="X25" s="47">
        <f t="shared" si="10"/>
        <v>63.421065342005143</v>
      </c>
      <c r="Y25" s="47">
        <f t="shared" si="10"/>
        <v>64.045537563425796</v>
      </c>
      <c r="Z25" s="47">
        <f t="shared" si="10"/>
        <v>64.676158618096451</v>
      </c>
      <c r="AA25" s="47">
        <f t="shared" si="10"/>
        <v>65.312989050183944</v>
      </c>
      <c r="AB25" s="47">
        <f t="shared" si="10"/>
        <v>65.956090000000003</v>
      </c>
      <c r="AC25" s="47">
        <f t="shared" si="10"/>
        <v>66.518977190687664</v>
      </c>
      <c r="AD25" s="47">
        <f t="shared" si="10"/>
        <v>67.08666821358311</v>
      </c>
      <c r="AE25" s="47">
        <f t="shared" si="10"/>
        <v>67.659204065895452</v>
      </c>
      <c r="AF25" s="47">
        <f t="shared" si="10"/>
        <v>68.236626094715163</v>
      </c>
      <c r="AG25" s="47">
        <f t="shared" si="10"/>
        <v>68.818976000000006</v>
      </c>
      <c r="AH25" s="47">
        <f t="shared" si="10"/>
        <v>69.322810489383542</v>
      </c>
      <c r="AI25" s="47">
        <f t="shared" si="10"/>
        <v>69.830333629884052</v>
      </c>
      <c r="AJ25" s="47">
        <f t="shared" si="10"/>
        <v>70.341572426693446</v>
      </c>
      <c r="AK25" s="47">
        <f t="shared" si="10"/>
        <v>70.856554082712819</v>
      </c>
      <c r="AL25" s="47">
        <f t="shared" si="10"/>
        <v>71.375305999999995</v>
      </c>
      <c r="AM25" s="47">
        <f t="shared" si="10"/>
        <v>73.619545999999971</v>
      </c>
      <c r="AN25" s="47">
        <f t="shared" si="10"/>
        <v>75.517908999999989</v>
      </c>
      <c r="AO25" s="47">
        <f t="shared" si="10"/>
        <v>75.517908999999989</v>
      </c>
      <c r="AP25" s="47">
        <f t="shared" si="10"/>
        <v>75.517908999999989</v>
      </c>
      <c r="AQ25" s="47"/>
      <c r="AR25" s="47"/>
      <c r="AS25" s="47"/>
      <c r="AT25" s="47"/>
      <c r="AU25" s="47"/>
      <c r="AV25" s="47"/>
    </row>
    <row r="26" spans="1:48">
      <c r="A26" s="315" t="s">
        <v>16</v>
      </c>
      <c r="J26" s="42"/>
      <c r="K26" s="186"/>
      <c r="L26" s="186"/>
    </row>
    <row r="27" spans="1:48">
      <c r="A27" s="315" t="s">
        <v>16</v>
      </c>
      <c r="J27" s="42"/>
      <c r="K27" s="186"/>
      <c r="L27" s="186"/>
    </row>
    <row r="28" spans="1:48" ht="15.75" thickBot="1">
      <c r="A28" s="315" t="s">
        <v>16</v>
      </c>
      <c r="C28" s="314" t="s">
        <v>45</v>
      </c>
      <c r="D28" s="314"/>
      <c r="E28" s="315">
        <v>2012</v>
      </c>
      <c r="F28" s="315">
        <v>2020</v>
      </c>
      <c r="G28" s="315">
        <v>2030</v>
      </c>
      <c r="H28" s="315">
        <v>2040</v>
      </c>
      <c r="I28" s="315">
        <v>2050</v>
      </c>
    </row>
    <row r="29" spans="1:48">
      <c r="A29" s="315" t="s">
        <v>16</v>
      </c>
      <c r="C29" s="315" t="s">
        <v>7</v>
      </c>
      <c r="D29" s="315" t="s">
        <v>48</v>
      </c>
      <c r="E29" s="80">
        <v>0.71</v>
      </c>
      <c r="F29" s="34">
        <v>0.8</v>
      </c>
      <c r="G29" s="34">
        <v>0.85</v>
      </c>
      <c r="H29" s="34">
        <v>0.9</v>
      </c>
      <c r="I29" s="112">
        <v>0.95</v>
      </c>
      <c r="J29" s="315">
        <f t="shared" ref="J29:AL29" si="11">IF(J$7=-1,K29,IF(J$7=99,I29,IF(J$7=0,INDEX($E29:$I29,0,J$5),(INDEX($E29:$I29,0,J$7+1)-INDEX($E29:$I29,0,J$7))/(INDEX($E$4:$I$4,0,J$7+1)-INDEX($E$4:$I$4,0,J$7))+I29)))</f>
        <v>0.71</v>
      </c>
      <c r="K29" s="315">
        <f t="shared" si="11"/>
        <v>0.72124999999999995</v>
      </c>
      <c r="L29" s="315">
        <f t="shared" si="11"/>
        <v>0.73249999999999993</v>
      </c>
      <c r="M29" s="315">
        <f t="shared" si="11"/>
        <v>0.74374999999999991</v>
      </c>
      <c r="N29" s="315">
        <f t="shared" si="11"/>
        <v>0.75499999999999989</v>
      </c>
      <c r="O29" s="315">
        <f t="shared" si="11"/>
        <v>0.76624999999999988</v>
      </c>
      <c r="P29" s="315">
        <f t="shared" si="11"/>
        <v>0.77749999999999986</v>
      </c>
      <c r="Q29" s="315">
        <f t="shared" si="11"/>
        <v>0.78874999999999984</v>
      </c>
      <c r="R29" s="315">
        <f t="shared" si="11"/>
        <v>0.8</v>
      </c>
      <c r="S29" s="315">
        <f t="shared" si="11"/>
        <v>0.80500000000000005</v>
      </c>
      <c r="T29" s="315">
        <f t="shared" si="11"/>
        <v>0.81</v>
      </c>
      <c r="U29" s="315">
        <f t="shared" si="11"/>
        <v>0.81500000000000006</v>
      </c>
      <c r="V29" s="315">
        <f t="shared" si="11"/>
        <v>0.82000000000000006</v>
      </c>
      <c r="W29" s="315">
        <f t="shared" si="11"/>
        <v>0.82500000000000007</v>
      </c>
      <c r="X29" s="315">
        <f t="shared" si="11"/>
        <v>0.83000000000000007</v>
      </c>
      <c r="Y29" s="315">
        <f t="shared" si="11"/>
        <v>0.83500000000000008</v>
      </c>
      <c r="Z29" s="315">
        <f t="shared" si="11"/>
        <v>0.84000000000000008</v>
      </c>
      <c r="AA29" s="315">
        <f t="shared" si="11"/>
        <v>0.84500000000000008</v>
      </c>
      <c r="AB29" s="315">
        <f t="shared" si="11"/>
        <v>0.85</v>
      </c>
      <c r="AC29" s="315">
        <f t="shared" si="11"/>
        <v>0.85499999999999998</v>
      </c>
      <c r="AD29" s="315">
        <f t="shared" si="11"/>
        <v>0.86</v>
      </c>
      <c r="AE29" s="315">
        <f t="shared" si="11"/>
        <v>0.86499999999999999</v>
      </c>
      <c r="AF29" s="315">
        <f t="shared" si="11"/>
        <v>0.87</v>
      </c>
      <c r="AG29" s="315">
        <f t="shared" si="11"/>
        <v>0.875</v>
      </c>
      <c r="AH29" s="315">
        <f t="shared" si="11"/>
        <v>0.88</v>
      </c>
      <c r="AI29" s="315">
        <f t="shared" si="11"/>
        <v>0.88500000000000001</v>
      </c>
      <c r="AJ29" s="315">
        <f t="shared" si="11"/>
        <v>0.89</v>
      </c>
      <c r="AK29" s="315">
        <f t="shared" si="11"/>
        <v>0.89500000000000002</v>
      </c>
      <c r="AL29" s="315">
        <f t="shared" si="11"/>
        <v>0.9</v>
      </c>
      <c r="AM29" s="214">
        <f>(AL29+AN29)/2</f>
        <v>0.92500000000000004</v>
      </c>
      <c r="AN29" s="315">
        <f t="shared" ref="AN29:AP30" si="12">IF(AN$7=-1,AO29,IF(AN$7=99,AM29,IF(AN$7=0,INDEX($E29:$I29,0,AN$5),(INDEX($E29:$I29,0,AN$7+1)-INDEX($E29:$I29,0,AN$7))/(INDEX($E$4:$I$4,0,AN$7+1)-INDEX($E$4:$I$4,0,AN$7))+AM29)))</f>
        <v>0.95</v>
      </c>
      <c r="AO29" s="315">
        <f t="shared" si="12"/>
        <v>0.95</v>
      </c>
      <c r="AP29" s="315">
        <f t="shared" si="12"/>
        <v>0.95</v>
      </c>
    </row>
    <row r="30" spans="1:48">
      <c r="A30" s="315" t="s">
        <v>16</v>
      </c>
      <c r="C30" s="315" t="s">
        <v>8</v>
      </c>
      <c r="D30" s="315" t="s">
        <v>48</v>
      </c>
      <c r="E30" s="80">
        <v>0.83</v>
      </c>
      <c r="F30" s="34">
        <v>0.9</v>
      </c>
      <c r="G30" s="34">
        <v>0.95</v>
      </c>
      <c r="H30" s="34">
        <v>0.95</v>
      </c>
      <c r="I30" s="112">
        <v>1</v>
      </c>
      <c r="J30" s="315">
        <f t="shared" ref="J30:AL30" si="13">IF(J$7=-1,K30,IF(J$7=99,I30,IF(J$7=0,INDEX($E30:$I30,0,J$5),(INDEX($E30:$I30,0,J$7+1)-INDEX($E30:$I30,0,J$7))/(INDEX($E$4:$I$4,0,J$7+1)-INDEX($E$4:$I$4,0,J$7))+I30)))</f>
        <v>0.83</v>
      </c>
      <c r="K30" s="315">
        <f t="shared" si="13"/>
        <v>0.83875</v>
      </c>
      <c r="L30" s="315">
        <f t="shared" si="13"/>
        <v>0.84750000000000003</v>
      </c>
      <c r="M30" s="315">
        <f t="shared" si="13"/>
        <v>0.85625000000000007</v>
      </c>
      <c r="N30" s="315">
        <f t="shared" si="13"/>
        <v>0.8650000000000001</v>
      </c>
      <c r="O30" s="315">
        <f t="shared" si="13"/>
        <v>0.87375000000000014</v>
      </c>
      <c r="P30" s="315">
        <f t="shared" si="13"/>
        <v>0.88250000000000017</v>
      </c>
      <c r="Q30" s="315">
        <f t="shared" si="13"/>
        <v>0.89125000000000021</v>
      </c>
      <c r="R30" s="315">
        <f t="shared" si="13"/>
        <v>0.9</v>
      </c>
      <c r="S30" s="315">
        <f t="shared" si="13"/>
        <v>0.90500000000000003</v>
      </c>
      <c r="T30" s="315">
        <f t="shared" si="13"/>
        <v>0.91</v>
      </c>
      <c r="U30" s="315">
        <f t="shared" si="13"/>
        <v>0.91500000000000004</v>
      </c>
      <c r="V30" s="315">
        <f t="shared" si="13"/>
        <v>0.92</v>
      </c>
      <c r="W30" s="315">
        <f t="shared" si="13"/>
        <v>0.92500000000000004</v>
      </c>
      <c r="X30" s="315">
        <f t="shared" si="13"/>
        <v>0.93</v>
      </c>
      <c r="Y30" s="315">
        <f t="shared" si="13"/>
        <v>0.93500000000000005</v>
      </c>
      <c r="Z30" s="315">
        <f t="shared" si="13"/>
        <v>0.94000000000000006</v>
      </c>
      <c r="AA30" s="315">
        <f t="shared" si="13"/>
        <v>0.94500000000000006</v>
      </c>
      <c r="AB30" s="315">
        <f t="shared" si="13"/>
        <v>0.95</v>
      </c>
      <c r="AC30" s="315">
        <f t="shared" si="13"/>
        <v>0.95</v>
      </c>
      <c r="AD30" s="315">
        <f t="shared" si="13"/>
        <v>0.95</v>
      </c>
      <c r="AE30" s="315">
        <f t="shared" si="13"/>
        <v>0.95</v>
      </c>
      <c r="AF30" s="315">
        <f t="shared" si="13"/>
        <v>0.95</v>
      </c>
      <c r="AG30" s="315">
        <f t="shared" si="13"/>
        <v>0.95</v>
      </c>
      <c r="AH30" s="315">
        <f t="shared" si="13"/>
        <v>0.95</v>
      </c>
      <c r="AI30" s="315">
        <f t="shared" si="13"/>
        <v>0.95</v>
      </c>
      <c r="AJ30" s="315">
        <f t="shared" si="13"/>
        <v>0.95</v>
      </c>
      <c r="AK30" s="315">
        <f t="shared" si="13"/>
        <v>0.95</v>
      </c>
      <c r="AL30" s="315">
        <f t="shared" si="13"/>
        <v>0.95</v>
      </c>
      <c r="AM30" s="214">
        <f>(AL30+AN30)/2</f>
        <v>0.97499999999999998</v>
      </c>
      <c r="AN30" s="315">
        <f t="shared" si="12"/>
        <v>1</v>
      </c>
      <c r="AO30" s="315">
        <f t="shared" si="12"/>
        <v>1</v>
      </c>
      <c r="AP30" s="315">
        <f t="shared" si="12"/>
        <v>1</v>
      </c>
    </row>
    <row r="31" spans="1:48">
      <c r="A31" s="315" t="s">
        <v>16</v>
      </c>
      <c r="C31" s="315" t="s">
        <v>54</v>
      </c>
      <c r="D31" s="315" t="s">
        <v>48</v>
      </c>
      <c r="E31" s="80">
        <f>(E29*E22+E30*E23+E24)/E25</f>
        <v>0.80398745653518777</v>
      </c>
      <c r="F31" s="80">
        <f>(F29*F22+F30*F23+F24)/F25</f>
        <v>0.87282729724049135</v>
      </c>
      <c r="G31" s="80">
        <f>(G29*G22+G30*G23+G24)/G25</f>
        <v>0.92043871195881943</v>
      </c>
      <c r="H31" s="80">
        <f>(H29*H22+H30*H23+H24)/H25</f>
        <v>0.94910948020884289</v>
      </c>
      <c r="I31" s="80">
        <f>(I29*I22+I30*I23+I24)/I25</f>
        <v>0.98702737117494743</v>
      </c>
      <c r="J31" s="323"/>
    </row>
    <row r="32" spans="1:48">
      <c r="A32" s="315" t="s">
        <v>16</v>
      </c>
    </row>
    <row r="33" spans="1:48" ht="15.75" thickBot="1">
      <c r="A33" s="315" t="s">
        <v>16</v>
      </c>
      <c r="B33" s="314" t="s">
        <v>59</v>
      </c>
      <c r="D33" s="314"/>
      <c r="E33" s="315">
        <f>E28</f>
        <v>2012</v>
      </c>
      <c r="F33" s="315">
        <f>F28</f>
        <v>2020</v>
      </c>
      <c r="G33" s="315">
        <f>G28</f>
        <v>2030</v>
      </c>
      <c r="H33" s="315">
        <f>H28</f>
        <v>2040</v>
      </c>
      <c r="I33" s="315">
        <f>I28</f>
        <v>2050</v>
      </c>
    </row>
    <row r="34" spans="1:48">
      <c r="A34" s="315" t="s">
        <v>16</v>
      </c>
      <c r="B34" s="315" t="str">
        <f>[5]RES!B26</f>
        <v>LE</v>
      </c>
      <c r="C34" s="315" t="str">
        <f>[5]RES!A26</f>
        <v>Low Income Electrified</v>
      </c>
      <c r="D34" s="315" t="s">
        <v>47</v>
      </c>
      <c r="E34" s="10">
        <f t="shared" ref="E34:AP34" si="14">E22</f>
        <v>26.164390783448656</v>
      </c>
      <c r="F34" s="10">
        <f t="shared" si="14"/>
        <v>28.111589337230718</v>
      </c>
      <c r="G34" s="10">
        <f t="shared" si="14"/>
        <v>27.84457886154026</v>
      </c>
      <c r="H34" s="10">
        <f t="shared" si="14"/>
        <v>23.986195872849844</v>
      </c>
      <c r="I34" s="10">
        <f t="shared" si="14"/>
        <v>19.593316062021987</v>
      </c>
      <c r="J34" s="10">
        <f t="shared" si="14"/>
        <v>26.164390783448656</v>
      </c>
      <c r="K34" s="10">
        <f t="shared" si="14"/>
        <v>26.379251330070801</v>
      </c>
      <c r="L34" s="10">
        <f t="shared" si="14"/>
        <v>26.321563508905001</v>
      </c>
      <c r="M34" s="10">
        <f t="shared" si="14"/>
        <v>26.360993218184007</v>
      </c>
      <c r="N34" s="10">
        <f t="shared" si="14"/>
        <v>26.55165611504972</v>
      </c>
      <c r="O34" s="10">
        <f t="shared" si="14"/>
        <v>26.578764727799523</v>
      </c>
      <c r="P34" s="10">
        <f t="shared" si="14"/>
        <v>26.623535799649542</v>
      </c>
      <c r="Q34" s="10">
        <f t="shared" si="14"/>
        <v>26.911307025844376</v>
      </c>
      <c r="R34" s="10">
        <f t="shared" si="14"/>
        <v>28.111589337230718</v>
      </c>
      <c r="S34" s="10">
        <f t="shared" si="14"/>
        <v>29.277268001984922</v>
      </c>
      <c r="T34" s="10">
        <f t="shared" si="14"/>
        <v>29.225063761101811</v>
      </c>
      <c r="U34" s="10">
        <f t="shared" si="14"/>
        <v>29.174243991646591</v>
      </c>
      <c r="V34" s="10">
        <f t="shared" si="14"/>
        <v>29.116291351858223</v>
      </c>
      <c r="W34" s="10">
        <f t="shared" si="14"/>
        <v>29.081484310034714</v>
      </c>
      <c r="X34" s="10">
        <f t="shared" si="14"/>
        <v>28.888729098492881</v>
      </c>
      <c r="Y34" s="10">
        <f t="shared" si="14"/>
        <v>28.653935704390594</v>
      </c>
      <c r="Z34" s="10">
        <f t="shared" si="14"/>
        <v>28.412858344089109</v>
      </c>
      <c r="AA34" s="10">
        <f t="shared" si="14"/>
        <v>28.11896804068763</v>
      </c>
      <c r="AB34" s="10">
        <f t="shared" si="14"/>
        <v>27.84457886154026</v>
      </c>
      <c r="AC34" s="10">
        <f t="shared" si="14"/>
        <v>27.508896452943109</v>
      </c>
      <c r="AD34" s="10">
        <f t="shared" si="14"/>
        <v>27.184672818633722</v>
      </c>
      <c r="AE34" s="10">
        <f t="shared" si="14"/>
        <v>26.849793555081213</v>
      </c>
      <c r="AF34" s="10">
        <f t="shared" si="14"/>
        <v>26.468828487558245</v>
      </c>
      <c r="AG34" s="10">
        <f t="shared" si="14"/>
        <v>26.055520678280907</v>
      </c>
      <c r="AH34" s="10">
        <f t="shared" si="14"/>
        <v>25.611588375949609</v>
      </c>
      <c r="AI34" s="10">
        <f t="shared" si="14"/>
        <v>25.186854714664566</v>
      </c>
      <c r="AJ34" s="10">
        <f t="shared" si="14"/>
        <v>24.779803437377858</v>
      </c>
      <c r="AK34" s="10">
        <f t="shared" si="14"/>
        <v>24.385460327352369</v>
      </c>
      <c r="AL34" s="10">
        <f t="shared" si="14"/>
        <v>23.986195872849844</v>
      </c>
      <c r="AM34" s="10">
        <f t="shared" si="14"/>
        <v>21.788183856657625</v>
      </c>
      <c r="AN34" s="10">
        <f t="shared" si="14"/>
        <v>19.593316062021987</v>
      </c>
      <c r="AO34" s="10">
        <f t="shared" si="14"/>
        <v>19.593316062021987</v>
      </c>
      <c r="AP34" s="10">
        <f t="shared" si="14"/>
        <v>19.593316062021987</v>
      </c>
      <c r="AQ34" s="10"/>
      <c r="AR34" s="10"/>
      <c r="AS34" s="10"/>
      <c r="AT34" s="10"/>
      <c r="AU34" s="10"/>
      <c r="AV34" s="10"/>
    </row>
    <row r="35" spans="1:48">
      <c r="A35" s="315" t="s">
        <v>16</v>
      </c>
      <c r="B35" s="315" t="str">
        <f>[5]RES!B27</f>
        <v>ME</v>
      </c>
      <c r="C35" s="315" t="str">
        <f>[5]RES!A27</f>
        <v>Middle Income Electrified</v>
      </c>
      <c r="D35" s="315" t="s">
        <v>47</v>
      </c>
      <c r="E35" s="10">
        <f t="shared" ref="E35:AP35" si="15">E23</f>
        <v>15.698634470069196</v>
      </c>
      <c r="F35" s="10">
        <f t="shared" si="15"/>
        <v>19.201285369797056</v>
      </c>
      <c r="G35" s="10">
        <f t="shared" si="15"/>
        <v>21.41729290657965</v>
      </c>
      <c r="H35" s="10">
        <f t="shared" si="15"/>
        <v>24.674136706158219</v>
      </c>
      <c r="I35" s="10">
        <f t="shared" si="15"/>
        <v>27.322481569655267</v>
      </c>
      <c r="J35" s="10">
        <f t="shared" si="15"/>
        <v>15.698634470069196</v>
      </c>
      <c r="K35" s="10">
        <f t="shared" si="15"/>
        <v>15.74245680105571</v>
      </c>
      <c r="L35" s="10">
        <f t="shared" si="15"/>
        <v>16.168259366046819</v>
      </c>
      <c r="M35" s="10">
        <f t="shared" si="15"/>
        <v>16.60012737178209</v>
      </c>
      <c r="N35" s="10">
        <f t="shared" si="15"/>
        <v>16.976763654970718</v>
      </c>
      <c r="O35" s="10">
        <f t="shared" si="15"/>
        <v>17.298814732088275</v>
      </c>
      <c r="P35" s="10">
        <f t="shared" si="15"/>
        <v>17.766318277795556</v>
      </c>
      <c r="Q35" s="10">
        <f t="shared" si="15"/>
        <v>18.226385675800731</v>
      </c>
      <c r="R35" s="10">
        <f t="shared" si="15"/>
        <v>19.201285369797056</v>
      </c>
      <c r="S35" s="10">
        <f t="shared" si="15"/>
        <v>18.406399362296234</v>
      </c>
      <c r="T35" s="10">
        <f t="shared" si="15"/>
        <v>18.750265400079719</v>
      </c>
      <c r="U35" s="10">
        <f t="shared" si="15"/>
        <v>19.072968531164133</v>
      </c>
      <c r="V35" s="10">
        <f t="shared" si="15"/>
        <v>19.426097520426012</v>
      </c>
      <c r="W35" s="10">
        <f t="shared" si="15"/>
        <v>19.777353108177905</v>
      </c>
      <c r="X35" s="10">
        <f t="shared" si="15"/>
        <v>20.059410117564614</v>
      </c>
      <c r="Y35" s="10">
        <f t="shared" si="15"/>
        <v>20.396962551576763</v>
      </c>
      <c r="Z35" s="10">
        <f t="shared" si="15"/>
        <v>20.725341037956394</v>
      </c>
      <c r="AA35" s="10">
        <f t="shared" si="15"/>
        <v>21.041967170884149</v>
      </c>
      <c r="AB35" s="10">
        <f t="shared" si="15"/>
        <v>21.41729290657965</v>
      </c>
      <c r="AC35" s="10">
        <f t="shared" si="15"/>
        <v>21.708005141736258</v>
      </c>
      <c r="AD35" s="10">
        <f t="shared" si="15"/>
        <v>22.064796052396794</v>
      </c>
      <c r="AE35" s="10">
        <f t="shared" si="15"/>
        <v>22.382568441026983</v>
      </c>
      <c r="AF35" s="10">
        <f t="shared" si="15"/>
        <v>22.716366832356989</v>
      </c>
      <c r="AG35" s="10">
        <f t="shared" si="15"/>
        <v>23.055089514161406</v>
      </c>
      <c r="AH35" s="10">
        <f t="shared" si="15"/>
        <v>23.387019498469286</v>
      </c>
      <c r="AI35" s="10">
        <f t="shared" si="15"/>
        <v>23.706170767246938</v>
      </c>
      <c r="AJ35" s="10">
        <f t="shared" si="15"/>
        <v>24.034790726882992</v>
      </c>
      <c r="AK35" s="10">
        <f t="shared" si="15"/>
        <v>24.35496367800172</v>
      </c>
      <c r="AL35" s="10">
        <f t="shared" si="15"/>
        <v>24.674136706158219</v>
      </c>
      <c r="AM35" s="10">
        <f t="shared" si="15"/>
        <v>26.026837505376491</v>
      </c>
      <c r="AN35" s="10">
        <f t="shared" si="15"/>
        <v>27.322481569655267</v>
      </c>
      <c r="AO35" s="10">
        <f t="shared" si="15"/>
        <v>27.322481569655267</v>
      </c>
      <c r="AP35" s="10">
        <f t="shared" si="15"/>
        <v>27.322481569655267</v>
      </c>
      <c r="AQ35" s="10"/>
      <c r="AR35" s="10"/>
      <c r="AS35" s="10"/>
      <c r="AT35" s="10"/>
      <c r="AU35" s="10"/>
      <c r="AV35" s="10"/>
    </row>
    <row r="36" spans="1:48">
      <c r="A36" s="315" t="s">
        <v>16</v>
      </c>
      <c r="B36" s="315" t="str">
        <f>[5]RES!B28</f>
        <v>HE</v>
      </c>
      <c r="C36" s="315" t="str">
        <f>[5]RES!A28</f>
        <v>High Income Electrified</v>
      </c>
      <c r="D36" s="315" t="s">
        <v>47</v>
      </c>
      <c r="E36" s="10">
        <f t="shared" ref="E36:AP36" si="16">E24</f>
        <v>10.46240762855223</v>
      </c>
      <c r="F36" s="10">
        <f t="shared" si="16"/>
        <v>11.995815292972233</v>
      </c>
      <c r="G36" s="10">
        <f t="shared" si="16"/>
        <v>16.694218231880097</v>
      </c>
      <c r="H36" s="10">
        <f t="shared" si="16"/>
        <v>22.714973420991928</v>
      </c>
      <c r="I36" s="10">
        <f t="shared" si="16"/>
        <v>28.602111368322735</v>
      </c>
      <c r="J36" s="10">
        <f t="shared" si="16"/>
        <v>10.46240762855223</v>
      </c>
      <c r="K36" s="10">
        <f t="shared" si="16"/>
        <v>10.98267832729683</v>
      </c>
      <c r="L36" s="10">
        <f t="shared" si="16"/>
        <v>11.422542816477451</v>
      </c>
      <c r="M36" s="10">
        <f t="shared" si="16"/>
        <v>11.789370867355018</v>
      </c>
      <c r="N36" s="10">
        <f t="shared" si="16"/>
        <v>12.091520699804388</v>
      </c>
      <c r="O36" s="10">
        <f t="shared" si="16"/>
        <v>12.644368581760297</v>
      </c>
      <c r="P36" s="10">
        <f t="shared" si="16"/>
        <v>13.046146539854554</v>
      </c>
      <c r="Q36" s="10">
        <f t="shared" si="16"/>
        <v>13.227142220174334</v>
      </c>
      <c r="R36" s="10">
        <f t="shared" si="16"/>
        <v>11.995815292972233</v>
      </c>
      <c r="S36" s="10">
        <f t="shared" si="16"/>
        <v>12.307913084923102</v>
      </c>
      <c r="T36" s="10">
        <f t="shared" si="16"/>
        <v>12.707004655217851</v>
      </c>
      <c r="U36" s="10">
        <f t="shared" si="16"/>
        <v>13.133828113763638</v>
      </c>
      <c r="V36" s="10">
        <f t="shared" si="16"/>
        <v>13.545403614869469</v>
      </c>
      <c r="W36" s="10">
        <f t="shared" si="16"/>
        <v>13.94384458178741</v>
      </c>
      <c r="X36" s="10">
        <f t="shared" si="16"/>
        <v>14.472926125947646</v>
      </c>
      <c r="Y36" s="10">
        <f t="shared" si="16"/>
        <v>14.994639307458437</v>
      </c>
      <c r="Z36" s="10">
        <f t="shared" si="16"/>
        <v>15.53795923605095</v>
      </c>
      <c r="AA36" s="10">
        <f t="shared" si="16"/>
        <v>16.152053838612154</v>
      </c>
      <c r="AB36" s="10">
        <f t="shared" si="16"/>
        <v>16.694218231880097</v>
      </c>
      <c r="AC36" s="10">
        <f t="shared" si="16"/>
        <v>17.302075596008297</v>
      </c>
      <c r="AD36" s="10">
        <f t="shared" si="16"/>
        <v>17.837199342552591</v>
      </c>
      <c r="AE36" s="10">
        <f t="shared" si="16"/>
        <v>18.426842069787259</v>
      </c>
      <c r="AF36" s="10">
        <f t="shared" si="16"/>
        <v>19.051430774799929</v>
      </c>
      <c r="AG36" s="10">
        <f t="shared" si="16"/>
        <v>19.708365807557694</v>
      </c>
      <c r="AH36" s="10">
        <f t="shared" si="16"/>
        <v>20.324202614964648</v>
      </c>
      <c r="AI36" s="10">
        <f t="shared" si="16"/>
        <v>20.937308147972544</v>
      </c>
      <c r="AJ36" s="10">
        <f t="shared" si="16"/>
        <v>21.526978262432596</v>
      </c>
      <c r="AK36" s="10">
        <f t="shared" si="16"/>
        <v>22.116130077358729</v>
      </c>
      <c r="AL36" s="10">
        <f t="shared" si="16"/>
        <v>22.714973420991928</v>
      </c>
      <c r="AM36" s="10">
        <f t="shared" si="16"/>
        <v>25.804524637965855</v>
      </c>
      <c r="AN36" s="10">
        <f t="shared" si="16"/>
        <v>28.602111368322735</v>
      </c>
      <c r="AO36" s="10">
        <f t="shared" si="16"/>
        <v>28.602111368322735</v>
      </c>
      <c r="AP36" s="10">
        <f t="shared" si="16"/>
        <v>28.602111368322735</v>
      </c>
      <c r="AQ36" s="10"/>
      <c r="AR36" s="10"/>
      <c r="AS36" s="10"/>
      <c r="AT36" s="10"/>
      <c r="AU36" s="10"/>
      <c r="AV36" s="10"/>
    </row>
    <row r="37" spans="1:48">
      <c r="A37" s="315" t="s">
        <v>16</v>
      </c>
      <c r="B37" s="315" t="str">
        <f>[5]RES!B29</f>
        <v>LN</v>
      </c>
      <c r="C37" s="315" t="str">
        <f>[5]RES!A29</f>
        <v>Low Income Non-Electrified</v>
      </c>
      <c r="D37" s="315" t="s">
        <v>47</v>
      </c>
      <c r="E37" s="10">
        <f t="shared" ref="E37:AP37" si="17">E22-E34</f>
        <v>0</v>
      </c>
      <c r="F37" s="10">
        <f t="shared" si="17"/>
        <v>0</v>
      </c>
      <c r="G37" s="10">
        <f t="shared" si="17"/>
        <v>0</v>
      </c>
      <c r="H37" s="10">
        <f t="shared" si="17"/>
        <v>0</v>
      </c>
      <c r="I37" s="10">
        <f t="shared" si="17"/>
        <v>0</v>
      </c>
      <c r="J37" s="10">
        <f t="shared" si="17"/>
        <v>0</v>
      </c>
      <c r="K37" s="10">
        <f t="shared" si="17"/>
        <v>0</v>
      </c>
      <c r="L37" s="10">
        <f t="shared" si="17"/>
        <v>0</v>
      </c>
      <c r="M37" s="10">
        <f t="shared" si="17"/>
        <v>0</v>
      </c>
      <c r="N37" s="10">
        <f t="shared" si="17"/>
        <v>0</v>
      </c>
      <c r="O37" s="10">
        <f t="shared" si="17"/>
        <v>0</v>
      </c>
      <c r="P37" s="10">
        <f t="shared" si="17"/>
        <v>0</v>
      </c>
      <c r="Q37" s="10">
        <f t="shared" si="17"/>
        <v>0</v>
      </c>
      <c r="R37" s="10">
        <f t="shared" si="17"/>
        <v>0</v>
      </c>
      <c r="S37" s="10">
        <f t="shared" si="17"/>
        <v>0</v>
      </c>
      <c r="T37" s="10">
        <f t="shared" si="17"/>
        <v>0</v>
      </c>
      <c r="U37" s="10">
        <f t="shared" si="17"/>
        <v>0</v>
      </c>
      <c r="V37" s="10">
        <f t="shared" si="17"/>
        <v>0</v>
      </c>
      <c r="W37" s="10">
        <f t="shared" si="17"/>
        <v>0</v>
      </c>
      <c r="X37" s="10">
        <f t="shared" si="17"/>
        <v>0</v>
      </c>
      <c r="Y37" s="10">
        <f t="shared" si="17"/>
        <v>0</v>
      </c>
      <c r="Z37" s="10">
        <f t="shared" si="17"/>
        <v>0</v>
      </c>
      <c r="AA37" s="10">
        <f t="shared" si="17"/>
        <v>0</v>
      </c>
      <c r="AB37" s="10">
        <f t="shared" si="17"/>
        <v>0</v>
      </c>
      <c r="AC37" s="10">
        <f t="shared" si="17"/>
        <v>0</v>
      </c>
      <c r="AD37" s="10">
        <f t="shared" si="17"/>
        <v>0</v>
      </c>
      <c r="AE37" s="10">
        <f t="shared" si="17"/>
        <v>0</v>
      </c>
      <c r="AF37" s="10">
        <f t="shared" si="17"/>
        <v>0</v>
      </c>
      <c r="AG37" s="10">
        <f t="shared" si="17"/>
        <v>0</v>
      </c>
      <c r="AH37" s="10">
        <f t="shared" si="17"/>
        <v>0</v>
      </c>
      <c r="AI37" s="10">
        <f t="shared" si="17"/>
        <v>0</v>
      </c>
      <c r="AJ37" s="10">
        <f t="shared" si="17"/>
        <v>0</v>
      </c>
      <c r="AK37" s="10">
        <f t="shared" si="17"/>
        <v>0</v>
      </c>
      <c r="AL37" s="10">
        <f t="shared" si="17"/>
        <v>0</v>
      </c>
      <c r="AM37" s="10">
        <f t="shared" si="17"/>
        <v>0</v>
      </c>
      <c r="AN37" s="10">
        <f t="shared" si="17"/>
        <v>0</v>
      </c>
      <c r="AO37" s="10">
        <f t="shared" si="17"/>
        <v>0</v>
      </c>
      <c r="AP37" s="10">
        <f t="shared" si="17"/>
        <v>0</v>
      </c>
      <c r="AQ37" s="10"/>
      <c r="AR37" s="10"/>
      <c r="AS37" s="10"/>
      <c r="AT37" s="10"/>
      <c r="AU37" s="10"/>
      <c r="AV37" s="10"/>
    </row>
    <row r="38" spans="1:48">
      <c r="A38" s="315" t="s">
        <v>16</v>
      </c>
      <c r="B38" s="315" t="str">
        <f>[5]RES!B30</f>
        <v>MN</v>
      </c>
      <c r="C38" s="315" t="str">
        <f>[5]RES!A30</f>
        <v>Middle Income Non-Electrified</v>
      </c>
      <c r="D38" s="315" t="s">
        <v>47</v>
      </c>
      <c r="E38" s="10">
        <f t="shared" ref="E38:AP38" si="18">E23-E35</f>
        <v>0</v>
      </c>
      <c r="F38" s="10">
        <f t="shared" si="18"/>
        <v>0</v>
      </c>
      <c r="G38" s="10">
        <f t="shared" si="18"/>
        <v>0</v>
      </c>
      <c r="H38" s="10">
        <f t="shared" si="18"/>
        <v>0</v>
      </c>
      <c r="I38" s="10">
        <f t="shared" si="18"/>
        <v>0</v>
      </c>
      <c r="J38" s="10">
        <f t="shared" si="18"/>
        <v>0</v>
      </c>
      <c r="K38" s="10">
        <f t="shared" si="18"/>
        <v>0</v>
      </c>
      <c r="L38" s="10">
        <f t="shared" si="18"/>
        <v>0</v>
      </c>
      <c r="M38" s="10">
        <f t="shared" si="18"/>
        <v>0</v>
      </c>
      <c r="N38" s="10">
        <f t="shared" si="18"/>
        <v>0</v>
      </c>
      <c r="O38" s="10">
        <f t="shared" si="18"/>
        <v>0</v>
      </c>
      <c r="P38" s="10">
        <f t="shared" si="18"/>
        <v>0</v>
      </c>
      <c r="Q38" s="10">
        <f t="shared" si="18"/>
        <v>0</v>
      </c>
      <c r="R38" s="10">
        <f t="shared" si="18"/>
        <v>0</v>
      </c>
      <c r="S38" s="10">
        <f t="shared" si="18"/>
        <v>0</v>
      </c>
      <c r="T38" s="10">
        <f t="shared" si="18"/>
        <v>0</v>
      </c>
      <c r="U38" s="10">
        <f t="shared" si="18"/>
        <v>0</v>
      </c>
      <c r="V38" s="10">
        <f t="shared" si="18"/>
        <v>0</v>
      </c>
      <c r="W38" s="10">
        <f t="shared" si="18"/>
        <v>0</v>
      </c>
      <c r="X38" s="10">
        <f t="shared" si="18"/>
        <v>0</v>
      </c>
      <c r="Y38" s="10">
        <f t="shared" si="18"/>
        <v>0</v>
      </c>
      <c r="Z38" s="10">
        <f t="shared" si="18"/>
        <v>0</v>
      </c>
      <c r="AA38" s="10">
        <f t="shared" si="18"/>
        <v>0</v>
      </c>
      <c r="AB38" s="10">
        <f t="shared" si="18"/>
        <v>0</v>
      </c>
      <c r="AC38" s="10">
        <f t="shared" si="18"/>
        <v>0</v>
      </c>
      <c r="AD38" s="10">
        <f t="shared" si="18"/>
        <v>0</v>
      </c>
      <c r="AE38" s="10">
        <f t="shared" si="18"/>
        <v>0</v>
      </c>
      <c r="AF38" s="10">
        <f t="shared" si="18"/>
        <v>0</v>
      </c>
      <c r="AG38" s="10">
        <f t="shared" si="18"/>
        <v>0</v>
      </c>
      <c r="AH38" s="10">
        <f t="shared" si="18"/>
        <v>0</v>
      </c>
      <c r="AI38" s="10">
        <f t="shared" si="18"/>
        <v>0</v>
      </c>
      <c r="AJ38" s="10">
        <f t="shared" si="18"/>
        <v>0</v>
      </c>
      <c r="AK38" s="10">
        <f t="shared" si="18"/>
        <v>0</v>
      </c>
      <c r="AL38" s="10">
        <f t="shared" si="18"/>
        <v>0</v>
      </c>
      <c r="AM38" s="10">
        <f t="shared" si="18"/>
        <v>0</v>
      </c>
      <c r="AN38" s="10">
        <f t="shared" si="18"/>
        <v>0</v>
      </c>
      <c r="AO38" s="10">
        <f t="shared" si="18"/>
        <v>0</v>
      </c>
      <c r="AP38" s="10">
        <f t="shared" si="18"/>
        <v>0</v>
      </c>
      <c r="AQ38" s="10"/>
      <c r="AR38" s="10"/>
      <c r="AS38" s="10"/>
      <c r="AT38" s="10"/>
      <c r="AU38" s="10"/>
      <c r="AV38" s="10"/>
    </row>
    <row r="39" spans="1:48">
      <c r="A39" s="315" t="s">
        <v>16</v>
      </c>
      <c r="B39" s="228"/>
      <c r="J39" s="42"/>
      <c r="K39" s="186">
        <f>SUM(K34:K38)</f>
        <v>53.104386458423342</v>
      </c>
      <c r="L39" s="186"/>
    </row>
    <row r="40" spans="1:48" ht="18" thickBot="1">
      <c r="A40" s="315" t="s">
        <v>16</v>
      </c>
      <c r="B40" s="228"/>
      <c r="C40" s="37" t="s">
        <v>60</v>
      </c>
    </row>
    <row r="41" spans="1:48" ht="15.75" thickTop="1">
      <c r="A41" s="315" t="s">
        <v>16</v>
      </c>
    </row>
    <row r="42" spans="1:48" ht="15.75" thickBot="1">
      <c r="A42" s="315" t="s">
        <v>16</v>
      </c>
      <c r="C42" s="314" t="s">
        <v>58</v>
      </c>
      <c r="D42" s="314"/>
      <c r="E42" s="7">
        <v>2012</v>
      </c>
      <c r="F42" s="7">
        <v>2020</v>
      </c>
      <c r="G42" s="7">
        <v>2030</v>
      </c>
      <c r="H42" s="7">
        <v>2040</v>
      </c>
      <c r="I42" s="7">
        <v>2050</v>
      </c>
    </row>
    <row r="43" spans="1:48">
      <c r="A43" s="315" t="s">
        <v>16</v>
      </c>
      <c r="C43" s="315" t="s">
        <v>49</v>
      </c>
      <c r="D43" s="35"/>
      <c r="E43" s="10">
        <f t="shared" ref="E43:I45" si="19">SUMIF($J$3:$AV$3,E$21,$J43:$AV43)</f>
        <v>1</v>
      </c>
      <c r="F43" s="10">
        <f t="shared" si="19"/>
        <v>1</v>
      </c>
      <c r="G43" s="10">
        <f t="shared" si="19"/>
        <v>1</v>
      </c>
      <c r="H43" s="10">
        <f t="shared" si="19"/>
        <v>1</v>
      </c>
      <c r="I43" s="10">
        <f t="shared" si="19"/>
        <v>1</v>
      </c>
      <c r="J43" s="51">
        <v>1</v>
      </c>
      <c r="K43" s="51">
        <v>1</v>
      </c>
      <c r="L43" s="51">
        <v>1</v>
      </c>
      <c r="M43" s="51">
        <v>1</v>
      </c>
      <c r="N43" s="51">
        <v>1</v>
      </c>
      <c r="O43" s="51">
        <v>1</v>
      </c>
      <c r="P43" s="51">
        <v>1</v>
      </c>
      <c r="Q43" s="51">
        <v>1</v>
      </c>
      <c r="R43" s="51">
        <v>1</v>
      </c>
      <c r="S43" s="51">
        <v>1</v>
      </c>
      <c r="T43" s="51">
        <v>1</v>
      </c>
      <c r="U43" s="51">
        <v>1</v>
      </c>
      <c r="V43" s="51">
        <v>1</v>
      </c>
      <c r="W43" s="51">
        <v>1</v>
      </c>
      <c r="X43" s="51">
        <v>1</v>
      </c>
      <c r="Y43" s="51">
        <v>1</v>
      </c>
      <c r="Z43" s="51">
        <v>1</v>
      </c>
      <c r="AA43" s="51">
        <v>1</v>
      </c>
      <c r="AB43" s="51">
        <v>1</v>
      </c>
      <c r="AC43" s="51">
        <v>1</v>
      </c>
      <c r="AD43" s="51">
        <v>1</v>
      </c>
      <c r="AE43" s="51">
        <v>1</v>
      </c>
      <c r="AF43" s="51">
        <v>1</v>
      </c>
      <c r="AG43" s="51">
        <v>1</v>
      </c>
      <c r="AH43" s="51">
        <v>1</v>
      </c>
      <c r="AI43" s="51">
        <v>1</v>
      </c>
      <c r="AJ43" s="51">
        <v>1</v>
      </c>
      <c r="AK43" s="51">
        <v>1</v>
      </c>
      <c r="AL43" s="51">
        <v>1</v>
      </c>
      <c r="AM43" s="51">
        <v>1</v>
      </c>
      <c r="AN43" s="51">
        <v>1</v>
      </c>
      <c r="AO43" s="51">
        <v>1</v>
      </c>
      <c r="AP43" s="51">
        <v>1</v>
      </c>
      <c r="AQ43" s="10"/>
      <c r="AR43" s="10"/>
      <c r="AS43" s="10"/>
      <c r="AT43" s="10"/>
      <c r="AU43" s="10"/>
      <c r="AV43" s="10"/>
    </row>
    <row r="44" spans="1:48">
      <c r="A44" s="315" t="s">
        <v>16</v>
      </c>
      <c r="C44" s="315" t="s">
        <v>51</v>
      </c>
      <c r="E44" s="10">
        <f t="shared" si="19"/>
        <v>1</v>
      </c>
      <c r="F44" s="10">
        <f t="shared" si="19"/>
        <v>1</v>
      </c>
      <c r="G44" s="10">
        <f t="shared" si="19"/>
        <v>1</v>
      </c>
      <c r="H44" s="10">
        <f t="shared" si="19"/>
        <v>1</v>
      </c>
      <c r="I44" s="10">
        <f t="shared" si="19"/>
        <v>1</v>
      </c>
      <c r="J44" s="51">
        <v>1</v>
      </c>
      <c r="K44" s="51">
        <v>1</v>
      </c>
      <c r="L44" s="51">
        <v>1</v>
      </c>
      <c r="M44" s="51">
        <v>1</v>
      </c>
      <c r="N44" s="51">
        <v>1</v>
      </c>
      <c r="O44" s="51">
        <v>1</v>
      </c>
      <c r="P44" s="51">
        <v>1</v>
      </c>
      <c r="Q44" s="51">
        <v>1</v>
      </c>
      <c r="R44" s="51">
        <v>1</v>
      </c>
      <c r="S44" s="51">
        <v>1</v>
      </c>
      <c r="T44" s="51">
        <v>1</v>
      </c>
      <c r="U44" s="51">
        <v>1</v>
      </c>
      <c r="V44" s="51">
        <v>1</v>
      </c>
      <c r="W44" s="51">
        <v>1</v>
      </c>
      <c r="X44" s="51">
        <v>1</v>
      </c>
      <c r="Y44" s="51">
        <v>1</v>
      </c>
      <c r="Z44" s="51">
        <v>1</v>
      </c>
      <c r="AA44" s="51">
        <v>1</v>
      </c>
      <c r="AB44" s="51">
        <v>1</v>
      </c>
      <c r="AC44" s="51">
        <v>1</v>
      </c>
      <c r="AD44" s="51">
        <v>1</v>
      </c>
      <c r="AE44" s="51">
        <v>1</v>
      </c>
      <c r="AF44" s="51">
        <v>1</v>
      </c>
      <c r="AG44" s="51">
        <v>1</v>
      </c>
      <c r="AH44" s="51">
        <v>1</v>
      </c>
      <c r="AI44" s="51">
        <v>1</v>
      </c>
      <c r="AJ44" s="51">
        <v>1</v>
      </c>
      <c r="AK44" s="51">
        <v>1</v>
      </c>
      <c r="AL44" s="51">
        <v>1</v>
      </c>
      <c r="AM44" s="51">
        <v>1</v>
      </c>
      <c r="AN44" s="51">
        <v>1</v>
      </c>
      <c r="AO44" s="51">
        <v>1</v>
      </c>
      <c r="AP44" s="51">
        <v>1</v>
      </c>
      <c r="AQ44" s="10"/>
      <c r="AR44" s="10"/>
      <c r="AS44" s="10"/>
      <c r="AT44" s="10"/>
      <c r="AU44" s="10"/>
      <c r="AV44" s="10"/>
    </row>
    <row r="45" spans="1:48">
      <c r="A45" s="315" t="s">
        <v>16</v>
      </c>
      <c r="C45" s="315" t="s">
        <v>50</v>
      </c>
      <c r="E45" s="10">
        <f t="shared" si="19"/>
        <v>1</v>
      </c>
      <c r="F45" s="10">
        <f t="shared" si="19"/>
        <v>0.95221843003412987</v>
      </c>
      <c r="G45" s="10">
        <f t="shared" si="19"/>
        <v>1.1023890784982937</v>
      </c>
      <c r="H45" s="10">
        <f t="shared" si="19"/>
        <v>1.3620156089042583</v>
      </c>
      <c r="I45" s="10">
        <f t="shared" si="19"/>
        <v>1.7304739927162893</v>
      </c>
      <c r="J45" s="51">
        <f>INDEX(Drivers!$C$34:$AG$34,1,J21)/Drivers!$C$34</f>
        <v>1</v>
      </c>
      <c r="K45" s="51">
        <f>INDEX(Drivers!$C$34:$AG$34,1,K21)/Drivers!$C$34</f>
        <v>1.0170648464163823</v>
      </c>
      <c r="L45" s="51">
        <f>INDEX(Drivers!$C$34:$AG$34,1,L21)/Drivers!$C$34</f>
        <v>1.0273037542662116</v>
      </c>
      <c r="M45" s="51">
        <f>INDEX(Drivers!$C$34:$AG$34,1,M21)/Drivers!$C$34</f>
        <v>1.0341296928327646</v>
      </c>
      <c r="N45" s="51">
        <f>INDEX(Drivers!$C$34:$AG$34,1,N21)/Drivers!$C$34</f>
        <v>1.0341296928327646</v>
      </c>
      <c r="O45" s="51">
        <f>INDEX(Drivers!$C$34:$AG$34,1,O21)/Drivers!$C$34</f>
        <v>1.0477815699658704</v>
      </c>
      <c r="P45" s="51">
        <f>INDEX(Drivers!$C$34:$AG$34,1,P21)/Drivers!$C$34</f>
        <v>1.0511945392491469</v>
      </c>
      <c r="Q45" s="51">
        <f>INDEX(Drivers!$C$34:$AG$34,1,Q21)/Drivers!$C$34</f>
        <v>1.0443686006825939</v>
      </c>
      <c r="R45" s="51">
        <f>INDEX(Drivers!$C$34:$AG$34,1,R21)/Drivers!$C$34</f>
        <v>0.95221843003412987</v>
      </c>
      <c r="S45" s="51">
        <f>INDEX(Drivers!$C$34:$AG$34,1,S21)/Drivers!$C$34</f>
        <v>0.97610921501706482</v>
      </c>
      <c r="T45" s="51">
        <f>INDEX(Drivers!$C$34:$AG$34,1,T21)/Drivers!$C$34</f>
        <v>0.98634812286689422</v>
      </c>
      <c r="U45" s="51">
        <f>INDEX(Drivers!$C$34:$AG$34,1,U21)/Drivers!$C$34</f>
        <v>1</v>
      </c>
      <c r="V45" s="51">
        <f>INDEX(Drivers!$C$34:$AG$34,1,V21)/Drivers!$C$34</f>
        <v>1.0102389078498293</v>
      </c>
      <c r="W45" s="51">
        <f>INDEX(Drivers!$C$34:$AG$34,1,W21)/Drivers!$C$34</f>
        <v>1.0204778156996588</v>
      </c>
      <c r="X45" s="51">
        <f>INDEX(Drivers!$C$34:$AG$34,1,X21)/Drivers!$C$34</f>
        <v>1.0375426621160411</v>
      </c>
      <c r="Y45" s="51">
        <f>INDEX(Drivers!$C$34:$AG$34,1,Y21)/Drivers!$C$34</f>
        <v>1.0511945392491469</v>
      </c>
      <c r="Z45" s="51">
        <f>INDEX(Drivers!$C$34:$AG$34,1,Z21)/Drivers!$C$34</f>
        <v>1.0682593856655291</v>
      </c>
      <c r="AA45" s="51">
        <f>INDEX(Drivers!$C$34:$AG$34,1,AA21)/Drivers!$C$34</f>
        <v>1.0887372013651877</v>
      </c>
      <c r="AB45" s="51">
        <f>INDEX(Drivers!$C$34:$AG$34,1,AB21)/Drivers!$C$34</f>
        <v>1.1023890784982937</v>
      </c>
      <c r="AC45" s="51">
        <f>INDEX(Drivers!$C$34:$AG$34,1,AC21)/Drivers!$C$34</f>
        <v>1.1262798634812288</v>
      </c>
      <c r="AD45" s="51">
        <f>INDEX(Drivers!$C$34:$AG$34,1,AD21)/Drivers!$C$34</f>
        <v>1.1467576791808876</v>
      </c>
      <c r="AE45" s="51">
        <f>INDEX(Drivers!$C$34:$AG$34,1,AE21)/Drivers!$C$34</f>
        <v>1.1706484641638226</v>
      </c>
      <c r="AF45" s="51">
        <f>INDEX(Drivers!$C$34:$AG$34,1,AF21)/Drivers!$C$34</f>
        <v>1.1945392491467577</v>
      </c>
      <c r="AG45" s="51">
        <f>INDEX(Drivers!$C$34:$AG$34,1,AG21)/Drivers!$C$34</f>
        <v>1.2205074936934264</v>
      </c>
      <c r="AH45" s="51">
        <f>INDEX(Drivers!$C$34:$AG$34,1,AH21)/Drivers!$C$34</f>
        <v>1.2470402652954575</v>
      </c>
      <c r="AI45" s="51">
        <f>INDEX(Drivers!$C$34:$AG$34,1,AI21)/Drivers!$C$34</f>
        <v>1.2765211226310476</v>
      </c>
      <c r="AJ45" s="51">
        <f>INDEX(Drivers!$C$34:$AG$34,1,AJ21)/Drivers!$C$34</f>
        <v>1.3030538942330787</v>
      </c>
      <c r="AK45" s="51">
        <f>INDEX(Drivers!$C$34:$AG$34,1,AK21)/Drivers!$C$34</f>
        <v>1.3325347515686685</v>
      </c>
      <c r="AL45" s="51">
        <f>INDEX(Drivers!$C$34:$AG$34,1,AL21)/Drivers!$C$34</f>
        <v>1.3620156089042583</v>
      </c>
      <c r="AM45" s="51">
        <f>INDEX(Drivers!$C$34:$AG$34,1,AM21)/Drivers!$C$34</f>
        <v>1.5300564957171214</v>
      </c>
      <c r="AN45" s="51">
        <f>INDEX(Drivers!$C$34:$AG$34,1,AN21)/Drivers!$C$34</f>
        <v>1.7304739927162893</v>
      </c>
      <c r="AO45" s="36">
        <f>AN45</f>
        <v>1.7304739927162893</v>
      </c>
      <c r="AP45" s="36">
        <f>AO45</f>
        <v>1.7304739927162893</v>
      </c>
      <c r="AQ45" s="36"/>
      <c r="AR45" s="36"/>
      <c r="AS45" s="10"/>
      <c r="AT45" s="10"/>
      <c r="AU45" s="10"/>
      <c r="AV45" s="10"/>
    </row>
    <row r="46" spans="1:48">
      <c r="A46" s="315" t="s">
        <v>16</v>
      </c>
      <c r="H46" s="109">
        <f>I46^(1/40)-1</f>
        <v>1.3804295301459435E-2</v>
      </c>
      <c r="I46" s="186">
        <f>I45/E45</f>
        <v>1.7304739927162893</v>
      </c>
      <c r="L46" s="24"/>
    </row>
    <row r="47" spans="1:48" ht="15.75" thickBot="1">
      <c r="A47" s="315" t="s">
        <v>16</v>
      </c>
      <c r="C47" s="314" t="s">
        <v>213</v>
      </c>
      <c r="D47" s="314"/>
      <c r="E47" s="7">
        <v>2012</v>
      </c>
      <c r="F47" s="7">
        <v>2020</v>
      </c>
      <c r="G47" s="7">
        <v>2030</v>
      </c>
      <c r="H47" s="7">
        <v>2040</v>
      </c>
      <c r="I47" s="7">
        <v>2050</v>
      </c>
    </row>
    <row r="48" spans="1:48">
      <c r="A48" s="315" t="s">
        <v>16</v>
      </c>
      <c r="C48" s="315" t="s">
        <v>49</v>
      </c>
      <c r="D48" s="35" t="s">
        <v>55</v>
      </c>
      <c r="E48" s="80"/>
      <c r="F48" s="80">
        <f t="shared" ref="F48:I50" si="20">(F43/E43)^(1/(F$42-E$42))-1</f>
        <v>0</v>
      </c>
      <c r="G48" s="80">
        <f t="shared" si="20"/>
        <v>0</v>
      </c>
      <c r="H48" s="80">
        <f t="shared" si="20"/>
        <v>0</v>
      </c>
      <c r="I48" s="80">
        <f t="shared" si="20"/>
        <v>0</v>
      </c>
      <c r="J48" s="51"/>
      <c r="K48" s="36"/>
      <c r="L48" s="24"/>
      <c r="M48" s="10"/>
      <c r="O48" s="10"/>
      <c r="P48" s="10"/>
      <c r="Q48" s="10"/>
      <c r="R48" s="10"/>
      <c r="S48" s="10"/>
      <c r="T48" s="10"/>
      <c r="U48" s="10"/>
      <c r="V48" s="10"/>
      <c r="W48" s="10"/>
      <c r="Y48" s="10"/>
      <c r="Z48" s="10"/>
      <c r="AA48" s="10"/>
      <c r="AB48" s="10"/>
      <c r="AC48" s="10"/>
      <c r="AD48" s="10"/>
      <c r="AE48" s="10"/>
      <c r="AF48" s="10"/>
      <c r="AG48" s="10"/>
      <c r="AS48" s="10"/>
      <c r="AU48" s="10"/>
    </row>
    <row r="49" spans="1:47">
      <c r="A49" s="315" t="s">
        <v>16</v>
      </c>
      <c r="C49" s="315" t="s">
        <v>51</v>
      </c>
      <c r="E49" s="80"/>
      <c r="F49" s="80">
        <f t="shared" si="20"/>
        <v>0</v>
      </c>
      <c r="G49" s="80">
        <f t="shared" si="20"/>
        <v>0</v>
      </c>
      <c r="H49" s="80">
        <f t="shared" si="20"/>
        <v>0</v>
      </c>
      <c r="I49" s="80">
        <f t="shared" si="20"/>
        <v>0</v>
      </c>
      <c r="J49" s="51"/>
      <c r="K49" s="36"/>
      <c r="L49" s="24"/>
      <c r="M49" s="10"/>
      <c r="O49" s="10"/>
      <c r="P49" s="10"/>
      <c r="Q49" s="10"/>
      <c r="R49" s="10"/>
      <c r="S49" s="10"/>
      <c r="T49" s="10"/>
      <c r="U49" s="10"/>
      <c r="V49" s="10"/>
      <c r="W49" s="10"/>
      <c r="Y49" s="10"/>
      <c r="Z49" s="10"/>
      <c r="AA49" s="10"/>
      <c r="AB49" s="10"/>
      <c r="AC49" s="10"/>
      <c r="AD49" s="10"/>
      <c r="AE49" s="10"/>
      <c r="AF49" s="10"/>
      <c r="AG49" s="10"/>
      <c r="AS49" s="10"/>
      <c r="AU49" s="10"/>
    </row>
    <row r="50" spans="1:47">
      <c r="A50" s="315" t="s">
        <v>16</v>
      </c>
      <c r="C50" s="315" t="s">
        <v>50</v>
      </c>
      <c r="E50" s="80"/>
      <c r="F50" s="59">
        <f t="shared" si="20"/>
        <v>-6.1014137136932156E-3</v>
      </c>
      <c r="G50" s="59">
        <f t="shared" si="20"/>
        <v>1.4751803621559922E-2</v>
      </c>
      <c r="H50" s="59">
        <f t="shared" si="20"/>
        <v>2.1373811785192709E-2</v>
      </c>
      <c r="I50" s="59">
        <f t="shared" si="20"/>
        <v>2.4231902975435649E-2</v>
      </c>
      <c r="J50" s="51"/>
      <c r="K50" s="36"/>
      <c r="L50" s="24"/>
      <c r="M50" s="10"/>
      <c r="O50" s="10"/>
      <c r="P50" s="10"/>
      <c r="Q50" s="10"/>
      <c r="R50" s="10"/>
      <c r="S50" s="10"/>
      <c r="T50" s="10"/>
      <c r="U50" s="10"/>
      <c r="V50" s="10"/>
      <c r="W50" s="10"/>
      <c r="Y50" s="10"/>
      <c r="Z50" s="10"/>
      <c r="AA50" s="10"/>
      <c r="AB50" s="10"/>
      <c r="AC50" s="10"/>
      <c r="AD50" s="10"/>
      <c r="AE50" s="10"/>
      <c r="AF50" s="10"/>
      <c r="AG50" s="10"/>
      <c r="AS50" s="8"/>
      <c r="AU50" s="8"/>
    </row>
    <row r="51" spans="1:47">
      <c r="A51" s="315" t="s">
        <v>16</v>
      </c>
      <c r="L51" s="24"/>
    </row>
    <row r="52" spans="1:47" ht="18" thickBot="1">
      <c r="A52" s="315" t="s">
        <v>16</v>
      </c>
      <c r="C52" s="37" t="s">
        <v>294</v>
      </c>
    </row>
    <row r="53" spans="1:47" ht="15.75" thickTop="1">
      <c r="A53" s="315" t="s">
        <v>16</v>
      </c>
      <c r="D53" s="315" t="s">
        <v>52</v>
      </c>
      <c r="E53" s="315">
        <v>100</v>
      </c>
      <c r="F53" s="315">
        <v>150</v>
      </c>
      <c r="G53" s="315">
        <v>200</v>
      </c>
      <c r="H53" s="40"/>
      <c r="J53" s="315"/>
    </row>
    <row r="54" spans="1:47">
      <c r="A54" s="315" t="s">
        <v>16</v>
      </c>
      <c r="B54" s="315">
        <f>[5]RES!$B32</f>
        <v>0</v>
      </c>
      <c r="C54" s="315" t="str">
        <f>[5]RES!A32</f>
        <v>USE the names but not the numbers in the greyed out stuff, all the balance numbers are taken directly from the energy balance sheet</v>
      </c>
      <c r="E54" s="315">
        <v>0.3</v>
      </c>
      <c r="F54" s="12">
        <v>0.25</v>
      </c>
      <c r="G54" s="12">
        <v>0.2</v>
      </c>
      <c r="H54" s="40"/>
      <c r="J54" s="315"/>
    </row>
    <row r="55" spans="1:47">
      <c r="A55" s="315" t="s">
        <v>16</v>
      </c>
      <c r="B55" s="315" t="str">
        <f>[5]RES!$B33</f>
        <v>Demand</v>
      </c>
      <c r="C55" s="315" t="str">
        <f>[5]RES!A33</f>
        <v>End use demands</v>
      </c>
      <c r="E55" s="315">
        <v>0.1</v>
      </c>
      <c r="F55" s="12">
        <v>0.1</v>
      </c>
      <c r="G55" s="12">
        <v>0.1</v>
      </c>
      <c r="H55" s="40"/>
      <c r="J55" s="315"/>
    </row>
    <row r="56" spans="1:47">
      <c r="A56" s="315" t="s">
        <v>16</v>
      </c>
      <c r="B56" s="315" t="str">
        <f>[5]RES!$B34</f>
        <v>L</v>
      </c>
      <c r="C56" s="315" t="str">
        <f>[5]RES!A34</f>
        <v>Lighting</v>
      </c>
      <c r="E56" s="315">
        <v>0.5</v>
      </c>
      <c r="F56" s="12">
        <v>0.4</v>
      </c>
      <c r="G56" s="12">
        <v>0.3</v>
      </c>
      <c r="H56" s="40"/>
      <c r="J56" s="315"/>
    </row>
    <row r="57" spans="1:47">
      <c r="A57" s="315" t="s">
        <v>16</v>
      </c>
      <c r="B57" s="315" t="str">
        <f>[5]RES!$B35</f>
        <v>K</v>
      </c>
      <c r="C57" s="315" t="str">
        <f>[5]RES!A35</f>
        <v>Cooking</v>
      </c>
      <c r="E57" s="315">
        <v>0.3</v>
      </c>
      <c r="F57" s="12">
        <v>0.25</v>
      </c>
      <c r="G57" s="12">
        <v>0.2</v>
      </c>
      <c r="H57" s="40"/>
      <c r="J57" s="315"/>
    </row>
    <row r="58" spans="1:47">
      <c r="A58" s="315" t="s">
        <v>16</v>
      </c>
      <c r="B58" s="315" t="str">
        <f>[5]RES!$B36</f>
        <v>H</v>
      </c>
      <c r="C58" s="315" t="str">
        <f>[5]RES!A36</f>
        <v>Space Heating</v>
      </c>
      <c r="E58" s="315">
        <v>0.2</v>
      </c>
      <c r="F58" s="12">
        <v>0.15</v>
      </c>
      <c r="G58" s="12">
        <v>0.1</v>
      </c>
      <c r="H58" s="40"/>
      <c r="J58" s="315"/>
    </row>
    <row r="59" spans="1:47">
      <c r="A59" s="315" t="s">
        <v>16</v>
      </c>
      <c r="B59" s="315" t="str">
        <f>[5]RES!$B37</f>
        <v>WG</v>
      </c>
      <c r="C59" s="315" t="str">
        <f>[5]RES!A37</f>
        <v>Water Heating Geyser</v>
      </c>
      <c r="E59" s="315">
        <v>0.5</v>
      </c>
      <c r="F59" s="12">
        <v>0.4</v>
      </c>
      <c r="G59" s="12">
        <v>0.3</v>
      </c>
      <c r="H59" s="40"/>
      <c r="J59" s="315"/>
    </row>
    <row r="60" spans="1:47">
      <c r="A60" s="315" t="s">
        <v>16</v>
      </c>
      <c r="B60" s="315" t="str">
        <f>[5]RES!$B38</f>
        <v>W</v>
      </c>
      <c r="C60" s="315" t="str">
        <f>[5]RES!A38</f>
        <v>Water Heating</v>
      </c>
      <c r="E60" s="315">
        <v>0</v>
      </c>
      <c r="F60" s="12">
        <v>0</v>
      </c>
      <c r="G60" s="12">
        <v>0</v>
      </c>
      <c r="H60" s="40"/>
      <c r="J60" s="315"/>
    </row>
    <row r="61" spans="1:47">
      <c r="A61" s="315" t="s">
        <v>16</v>
      </c>
      <c r="B61" s="228"/>
    </row>
    <row r="62" spans="1:47">
      <c r="A62" s="315" t="s">
        <v>16</v>
      </c>
      <c r="C62" s="5" t="str">
        <f>C52</f>
        <v>High Income Household Elasticities</v>
      </c>
    </row>
    <row r="63" spans="1:47">
      <c r="A63" s="315" t="s">
        <v>16</v>
      </c>
      <c r="C63" s="315" t="str">
        <f t="shared" ref="C63:C69" si="21">C54</f>
        <v>USE the names but not the numbers in the greyed out stuff, all the balance numbers are taken directly from the energy balance sheet</v>
      </c>
      <c r="E63" s="186">
        <f t="shared" ref="E63:I69" si="22">FORECAST(E$45,$E54:$G54,$E$53:$G$53)</f>
        <v>0.39899999999999997</v>
      </c>
      <c r="F63" s="186">
        <f t="shared" si="22"/>
        <v>0.39904778156996584</v>
      </c>
      <c r="G63" s="186">
        <f t="shared" si="22"/>
        <v>0.39889761092150167</v>
      </c>
      <c r="H63" s="186">
        <f t="shared" si="22"/>
        <v>0.39863798439109571</v>
      </c>
      <c r="I63" s="186">
        <f t="shared" si="22"/>
        <v>0.39826952600728366</v>
      </c>
      <c r="J63" s="315">
        <f t="shared" ref="J63:AP63" si="23">IF(J$7=-1,K63,IF(J$7=99,I63,IF(J$7=0,INDEX($E63:$I63,0,J$5),(INDEX($E63:$I63,0,J$7+1)-INDEX($E63:$I63,0,J$7))/(INDEX($E$4:$I$4,0,J$7+1)-INDEX($E$4:$I$4,0,J$7))+I63)))</f>
        <v>0.39899999999999997</v>
      </c>
      <c r="K63" s="315">
        <f t="shared" si="23"/>
        <v>0.39900597269624571</v>
      </c>
      <c r="L63" s="315">
        <f t="shared" si="23"/>
        <v>0.39901194539249146</v>
      </c>
      <c r="M63" s="315">
        <f t="shared" si="23"/>
        <v>0.39901791808873721</v>
      </c>
      <c r="N63" s="315">
        <f t="shared" si="23"/>
        <v>0.39902389078498296</v>
      </c>
      <c r="O63" s="315">
        <f t="shared" si="23"/>
        <v>0.39902986348122871</v>
      </c>
      <c r="P63" s="315">
        <f t="shared" si="23"/>
        <v>0.39903583617747446</v>
      </c>
      <c r="Q63" s="315">
        <f t="shared" si="23"/>
        <v>0.39904180887372021</v>
      </c>
      <c r="R63" s="315">
        <f t="shared" si="23"/>
        <v>0.39904778156996584</v>
      </c>
      <c r="S63" s="315">
        <f t="shared" si="23"/>
        <v>0.39903276450511943</v>
      </c>
      <c r="T63" s="315">
        <f t="shared" si="23"/>
        <v>0.39901774744027302</v>
      </c>
      <c r="U63" s="315">
        <f t="shared" si="23"/>
        <v>0.39900273037542661</v>
      </c>
      <c r="V63" s="315">
        <f t="shared" si="23"/>
        <v>0.39898771331058019</v>
      </c>
      <c r="W63" s="315">
        <f t="shared" si="23"/>
        <v>0.39897269624573378</v>
      </c>
      <c r="X63" s="315">
        <f t="shared" si="23"/>
        <v>0.39895767918088737</v>
      </c>
      <c r="Y63" s="315">
        <f t="shared" si="23"/>
        <v>0.39894266211604096</v>
      </c>
      <c r="Z63" s="315">
        <f t="shared" si="23"/>
        <v>0.39892764505119455</v>
      </c>
      <c r="AA63" s="315">
        <f t="shared" si="23"/>
        <v>0.39891262798634813</v>
      </c>
      <c r="AB63" s="315">
        <f t="shared" si="23"/>
        <v>0.39889761092150167</v>
      </c>
      <c r="AC63" s="315">
        <f t="shared" si="23"/>
        <v>0.39887164826846105</v>
      </c>
      <c r="AD63" s="315">
        <f t="shared" si="23"/>
        <v>0.39884568561542044</v>
      </c>
      <c r="AE63" s="315">
        <f t="shared" si="23"/>
        <v>0.39881972296237983</v>
      </c>
      <c r="AF63" s="315">
        <f t="shared" si="23"/>
        <v>0.39879376030933922</v>
      </c>
      <c r="AG63" s="315">
        <f t="shared" si="23"/>
        <v>0.39876779765629861</v>
      </c>
      <c r="AH63" s="315">
        <f t="shared" si="23"/>
        <v>0.39874183500325799</v>
      </c>
      <c r="AI63" s="315">
        <f t="shared" si="23"/>
        <v>0.39871587235021738</v>
      </c>
      <c r="AJ63" s="315">
        <f t="shared" si="23"/>
        <v>0.39868990969717677</v>
      </c>
      <c r="AK63" s="315">
        <f t="shared" si="23"/>
        <v>0.39866394704413616</v>
      </c>
      <c r="AL63" s="315">
        <f t="shared" si="23"/>
        <v>0.39863798439109571</v>
      </c>
      <c r="AM63" s="315">
        <f t="shared" si="23"/>
        <v>0.39860113855271451</v>
      </c>
      <c r="AN63" s="315">
        <f t="shared" si="23"/>
        <v>0.39826952600728366</v>
      </c>
      <c r="AO63" s="315">
        <f t="shared" si="23"/>
        <v>0.39826952600728366</v>
      </c>
      <c r="AP63" s="315">
        <f t="shared" si="23"/>
        <v>0.39826952600728366</v>
      </c>
    </row>
    <row r="64" spans="1:47">
      <c r="A64" s="315" t="s">
        <v>16</v>
      </c>
      <c r="C64" s="315" t="str">
        <f t="shared" si="21"/>
        <v>End use demands</v>
      </c>
      <c r="E64" s="186">
        <f t="shared" si="22"/>
        <v>0.10000000000000002</v>
      </c>
      <c r="F64" s="186">
        <f t="shared" si="22"/>
        <v>0.10000000000000002</v>
      </c>
      <c r="G64" s="186">
        <f t="shared" si="22"/>
        <v>0.10000000000000002</v>
      </c>
      <c r="H64" s="186">
        <f t="shared" si="22"/>
        <v>0.10000000000000002</v>
      </c>
      <c r="I64" s="186">
        <f t="shared" si="22"/>
        <v>0.10000000000000002</v>
      </c>
      <c r="J64" s="315">
        <f t="shared" ref="J64:AP64" si="24">IF(J$7=-1,K64,IF(J$7=99,I64,IF(J$7=0,INDEX($E64:$I64,0,J$5),(INDEX($E64:$I64,0,J$7+1)-INDEX($E64:$I64,0,J$7))/(INDEX($E$4:$I$4,0,J$7+1)-INDEX($E$4:$I$4,0,J$7))+I64)))</f>
        <v>0.10000000000000002</v>
      </c>
      <c r="K64" s="315">
        <f t="shared" si="24"/>
        <v>0.10000000000000002</v>
      </c>
      <c r="L64" s="315">
        <f t="shared" si="24"/>
        <v>0.10000000000000002</v>
      </c>
      <c r="M64" s="315">
        <f t="shared" si="24"/>
        <v>0.10000000000000002</v>
      </c>
      <c r="N64" s="315">
        <f t="shared" si="24"/>
        <v>0.10000000000000002</v>
      </c>
      <c r="O64" s="315">
        <f t="shared" si="24"/>
        <v>0.10000000000000002</v>
      </c>
      <c r="P64" s="315">
        <f t="shared" si="24"/>
        <v>0.10000000000000002</v>
      </c>
      <c r="Q64" s="315">
        <f t="shared" si="24"/>
        <v>0.10000000000000002</v>
      </c>
      <c r="R64" s="315">
        <f t="shared" si="24"/>
        <v>0.10000000000000002</v>
      </c>
      <c r="S64" s="315">
        <f t="shared" si="24"/>
        <v>0.10000000000000002</v>
      </c>
      <c r="T64" s="315">
        <f t="shared" si="24"/>
        <v>0.10000000000000002</v>
      </c>
      <c r="U64" s="315">
        <f t="shared" si="24"/>
        <v>0.10000000000000002</v>
      </c>
      <c r="V64" s="315">
        <f t="shared" si="24"/>
        <v>0.10000000000000002</v>
      </c>
      <c r="W64" s="315">
        <f t="shared" si="24"/>
        <v>0.10000000000000002</v>
      </c>
      <c r="X64" s="315">
        <f t="shared" si="24"/>
        <v>0.10000000000000002</v>
      </c>
      <c r="Y64" s="315">
        <f t="shared" si="24"/>
        <v>0.10000000000000002</v>
      </c>
      <c r="Z64" s="315">
        <f t="shared" si="24"/>
        <v>0.10000000000000002</v>
      </c>
      <c r="AA64" s="315">
        <f t="shared" si="24"/>
        <v>0.10000000000000002</v>
      </c>
      <c r="AB64" s="315">
        <f t="shared" si="24"/>
        <v>0.10000000000000002</v>
      </c>
      <c r="AC64" s="315">
        <f t="shared" si="24"/>
        <v>0.10000000000000002</v>
      </c>
      <c r="AD64" s="315">
        <f t="shared" si="24"/>
        <v>0.10000000000000002</v>
      </c>
      <c r="AE64" s="315">
        <f t="shared" si="24"/>
        <v>0.10000000000000002</v>
      </c>
      <c r="AF64" s="315">
        <f t="shared" si="24"/>
        <v>0.10000000000000002</v>
      </c>
      <c r="AG64" s="315">
        <f t="shared" si="24"/>
        <v>0.10000000000000002</v>
      </c>
      <c r="AH64" s="315">
        <f t="shared" si="24"/>
        <v>0.10000000000000002</v>
      </c>
      <c r="AI64" s="315">
        <f t="shared" si="24"/>
        <v>0.10000000000000002</v>
      </c>
      <c r="AJ64" s="315">
        <f t="shared" si="24"/>
        <v>0.10000000000000002</v>
      </c>
      <c r="AK64" s="315">
        <f t="shared" si="24"/>
        <v>0.10000000000000002</v>
      </c>
      <c r="AL64" s="315">
        <f t="shared" si="24"/>
        <v>0.10000000000000002</v>
      </c>
      <c r="AM64" s="315">
        <f t="shared" si="24"/>
        <v>0.10000000000000002</v>
      </c>
      <c r="AN64" s="315">
        <f t="shared" si="24"/>
        <v>0.10000000000000002</v>
      </c>
      <c r="AO64" s="315">
        <f t="shared" si="24"/>
        <v>0.10000000000000002</v>
      </c>
      <c r="AP64" s="315">
        <f t="shared" si="24"/>
        <v>0.10000000000000002</v>
      </c>
    </row>
    <row r="65" spans="1:42">
      <c r="A65" s="315" t="s">
        <v>16</v>
      </c>
      <c r="C65" s="315" t="str">
        <f t="shared" si="21"/>
        <v>Lighting</v>
      </c>
      <c r="E65" s="186">
        <f t="shared" si="22"/>
        <v>0.69799999999999995</v>
      </c>
      <c r="F65" s="186">
        <f t="shared" si="22"/>
        <v>0.69809556313993171</v>
      </c>
      <c r="G65" s="186">
        <f t="shared" si="22"/>
        <v>0.69779522184300335</v>
      </c>
      <c r="H65" s="186">
        <f t="shared" si="22"/>
        <v>0.69727596878219145</v>
      </c>
      <c r="I65" s="186">
        <f t="shared" si="22"/>
        <v>0.69653905201456734</v>
      </c>
      <c r="J65" s="315">
        <f t="shared" ref="J65:AP65" si="25">IF(J$7=-1,K65,IF(J$7=99,I65,IF(J$7=0,INDEX($E65:$I65,0,J$5),(INDEX($E65:$I65,0,J$7+1)-INDEX($E65:$I65,0,J$7))/(INDEX($E$4:$I$4,0,J$7+1)-INDEX($E$4:$I$4,0,J$7))+I65)))</f>
        <v>0.69799999999999995</v>
      </c>
      <c r="K65" s="315">
        <f t="shared" si="25"/>
        <v>0.69801194539249145</v>
      </c>
      <c r="L65" s="315">
        <f t="shared" si="25"/>
        <v>0.69802389078498295</v>
      </c>
      <c r="M65" s="315">
        <f t="shared" si="25"/>
        <v>0.69803583617747444</v>
      </c>
      <c r="N65" s="315">
        <f t="shared" si="25"/>
        <v>0.69804778156996594</v>
      </c>
      <c r="O65" s="315">
        <f t="shared" si="25"/>
        <v>0.69805972696245744</v>
      </c>
      <c r="P65" s="315">
        <f t="shared" si="25"/>
        <v>0.69807167235494894</v>
      </c>
      <c r="Q65" s="315">
        <f t="shared" si="25"/>
        <v>0.69808361774744043</v>
      </c>
      <c r="R65" s="315">
        <f t="shared" si="25"/>
        <v>0.69809556313993171</v>
      </c>
      <c r="S65" s="315">
        <f t="shared" si="25"/>
        <v>0.69806552901023888</v>
      </c>
      <c r="T65" s="315">
        <f t="shared" si="25"/>
        <v>0.69803549488054606</v>
      </c>
      <c r="U65" s="315">
        <f t="shared" si="25"/>
        <v>0.69800546075085323</v>
      </c>
      <c r="V65" s="315">
        <f t="shared" si="25"/>
        <v>0.69797542662116041</v>
      </c>
      <c r="W65" s="315">
        <f t="shared" si="25"/>
        <v>0.69794539249146759</v>
      </c>
      <c r="X65" s="315">
        <f t="shared" si="25"/>
        <v>0.69791535836177476</v>
      </c>
      <c r="Y65" s="315">
        <f t="shared" si="25"/>
        <v>0.69788532423208194</v>
      </c>
      <c r="Z65" s="315">
        <f t="shared" si="25"/>
        <v>0.69785529010238911</v>
      </c>
      <c r="AA65" s="315">
        <f t="shared" si="25"/>
        <v>0.69782525597269629</v>
      </c>
      <c r="AB65" s="315">
        <f t="shared" si="25"/>
        <v>0.69779522184300335</v>
      </c>
      <c r="AC65" s="315">
        <f t="shared" si="25"/>
        <v>0.69774329653692213</v>
      </c>
      <c r="AD65" s="315">
        <f t="shared" si="25"/>
        <v>0.69769137123084091</v>
      </c>
      <c r="AE65" s="315">
        <f t="shared" si="25"/>
        <v>0.69763944592475968</v>
      </c>
      <c r="AF65" s="315">
        <f t="shared" si="25"/>
        <v>0.69758752061867846</v>
      </c>
      <c r="AG65" s="315">
        <f t="shared" si="25"/>
        <v>0.69753559531259723</v>
      </c>
      <c r="AH65" s="315">
        <f t="shared" si="25"/>
        <v>0.69748367000651601</v>
      </c>
      <c r="AI65" s="315">
        <f t="shared" si="25"/>
        <v>0.69743174470043479</v>
      </c>
      <c r="AJ65" s="315">
        <f t="shared" si="25"/>
        <v>0.69737981939435356</v>
      </c>
      <c r="AK65" s="315">
        <f t="shared" si="25"/>
        <v>0.69732789408827234</v>
      </c>
      <c r="AL65" s="315">
        <f t="shared" si="25"/>
        <v>0.69727596878219145</v>
      </c>
      <c r="AM65" s="315">
        <f t="shared" si="25"/>
        <v>0.69720227710542904</v>
      </c>
      <c r="AN65" s="315">
        <f t="shared" si="25"/>
        <v>0.69653905201456734</v>
      </c>
      <c r="AO65" s="315">
        <f t="shared" si="25"/>
        <v>0.69653905201456734</v>
      </c>
      <c r="AP65" s="315">
        <f t="shared" si="25"/>
        <v>0.69653905201456734</v>
      </c>
    </row>
    <row r="66" spans="1:42">
      <c r="A66" s="315" t="s">
        <v>16</v>
      </c>
      <c r="C66" s="315" t="str">
        <f t="shared" si="21"/>
        <v>Cooking</v>
      </c>
      <c r="E66" s="186">
        <f t="shared" si="22"/>
        <v>0.39899999999999997</v>
      </c>
      <c r="F66" s="186">
        <f t="shared" si="22"/>
        <v>0.39904778156996584</v>
      </c>
      <c r="G66" s="186">
        <f t="shared" si="22"/>
        <v>0.39889761092150167</v>
      </c>
      <c r="H66" s="186">
        <f t="shared" si="22"/>
        <v>0.39863798439109571</v>
      </c>
      <c r="I66" s="186">
        <f t="shared" si="22"/>
        <v>0.39826952600728366</v>
      </c>
      <c r="J66" s="315">
        <f t="shared" ref="J66:AP66" si="26">IF(J$7=-1,K66,IF(J$7=99,I66,IF(J$7=0,INDEX($E66:$I66,0,J$5),(INDEX($E66:$I66,0,J$7+1)-INDEX($E66:$I66,0,J$7))/(INDEX($E$4:$I$4,0,J$7+1)-INDEX($E$4:$I$4,0,J$7))+I66)))</f>
        <v>0.39899999999999997</v>
      </c>
      <c r="K66" s="315">
        <f t="shared" si="26"/>
        <v>0.39900597269624571</v>
      </c>
      <c r="L66" s="315">
        <f t="shared" si="26"/>
        <v>0.39901194539249146</v>
      </c>
      <c r="M66" s="315">
        <f t="shared" si="26"/>
        <v>0.39901791808873721</v>
      </c>
      <c r="N66" s="315">
        <f t="shared" si="26"/>
        <v>0.39902389078498296</v>
      </c>
      <c r="O66" s="315">
        <f t="shared" si="26"/>
        <v>0.39902986348122871</v>
      </c>
      <c r="P66" s="315">
        <f t="shared" si="26"/>
        <v>0.39903583617747446</v>
      </c>
      <c r="Q66" s="315">
        <f t="shared" si="26"/>
        <v>0.39904180887372021</v>
      </c>
      <c r="R66" s="315">
        <f t="shared" si="26"/>
        <v>0.39904778156996584</v>
      </c>
      <c r="S66" s="315">
        <f t="shared" si="26"/>
        <v>0.39903276450511943</v>
      </c>
      <c r="T66" s="315">
        <f t="shared" si="26"/>
        <v>0.39901774744027302</v>
      </c>
      <c r="U66" s="315">
        <f t="shared" si="26"/>
        <v>0.39900273037542661</v>
      </c>
      <c r="V66" s="315">
        <f t="shared" si="26"/>
        <v>0.39898771331058019</v>
      </c>
      <c r="W66" s="315">
        <f t="shared" si="26"/>
        <v>0.39897269624573378</v>
      </c>
      <c r="X66" s="315">
        <f t="shared" si="26"/>
        <v>0.39895767918088737</v>
      </c>
      <c r="Y66" s="315">
        <f t="shared" si="26"/>
        <v>0.39894266211604096</v>
      </c>
      <c r="Z66" s="315">
        <f t="shared" si="26"/>
        <v>0.39892764505119455</v>
      </c>
      <c r="AA66" s="315">
        <f t="shared" si="26"/>
        <v>0.39891262798634813</v>
      </c>
      <c r="AB66" s="315">
        <f t="shared" si="26"/>
        <v>0.39889761092150167</v>
      </c>
      <c r="AC66" s="315">
        <f t="shared" si="26"/>
        <v>0.39887164826846105</v>
      </c>
      <c r="AD66" s="315">
        <f t="shared" si="26"/>
        <v>0.39884568561542044</v>
      </c>
      <c r="AE66" s="315">
        <f t="shared" si="26"/>
        <v>0.39881972296237983</v>
      </c>
      <c r="AF66" s="315">
        <f t="shared" si="26"/>
        <v>0.39879376030933922</v>
      </c>
      <c r="AG66" s="315">
        <f t="shared" si="26"/>
        <v>0.39876779765629861</v>
      </c>
      <c r="AH66" s="315">
        <f t="shared" si="26"/>
        <v>0.39874183500325799</v>
      </c>
      <c r="AI66" s="315">
        <f t="shared" si="26"/>
        <v>0.39871587235021738</v>
      </c>
      <c r="AJ66" s="315">
        <f t="shared" si="26"/>
        <v>0.39868990969717677</v>
      </c>
      <c r="AK66" s="315">
        <f t="shared" si="26"/>
        <v>0.39866394704413616</v>
      </c>
      <c r="AL66" s="315">
        <f t="shared" si="26"/>
        <v>0.39863798439109571</v>
      </c>
      <c r="AM66" s="315">
        <f t="shared" si="26"/>
        <v>0.39860113855271451</v>
      </c>
      <c r="AN66" s="315">
        <f t="shared" si="26"/>
        <v>0.39826952600728366</v>
      </c>
      <c r="AO66" s="315">
        <f t="shared" si="26"/>
        <v>0.39826952600728366</v>
      </c>
      <c r="AP66" s="315">
        <f t="shared" si="26"/>
        <v>0.39826952600728366</v>
      </c>
    </row>
    <row r="67" spans="1:42">
      <c r="A67" s="315" t="s">
        <v>16</v>
      </c>
      <c r="C67" s="315" t="str">
        <f t="shared" si="21"/>
        <v>Space Heating</v>
      </c>
      <c r="E67" s="186">
        <f t="shared" si="22"/>
        <v>0.29899999999999999</v>
      </c>
      <c r="F67" s="186">
        <f t="shared" si="22"/>
        <v>0.29904778156996586</v>
      </c>
      <c r="G67" s="186">
        <f t="shared" si="22"/>
        <v>0.29889761092150169</v>
      </c>
      <c r="H67" s="186">
        <f t="shared" si="22"/>
        <v>0.29863798439109573</v>
      </c>
      <c r="I67" s="186">
        <f t="shared" si="22"/>
        <v>0.29826952600728368</v>
      </c>
      <c r="J67" s="315">
        <f t="shared" ref="J67:AP67" si="27">IF(J$7=-1,K67,IF(J$7=99,I67,IF(J$7=0,INDEX($E67:$I67,0,J$5),(INDEX($E67:$I67,0,J$7+1)-INDEX($E67:$I67,0,J$7))/(INDEX($E$4:$I$4,0,J$7+1)-INDEX($E$4:$I$4,0,J$7))+I67)))</f>
        <v>0.29899999999999999</v>
      </c>
      <c r="K67" s="315">
        <f t="shared" si="27"/>
        <v>0.29900597269624574</v>
      </c>
      <c r="L67" s="315">
        <f t="shared" si="27"/>
        <v>0.29901194539249148</v>
      </c>
      <c r="M67" s="315">
        <f t="shared" si="27"/>
        <v>0.29901791808873723</v>
      </c>
      <c r="N67" s="315">
        <f t="shared" si="27"/>
        <v>0.29902389078498298</v>
      </c>
      <c r="O67" s="315">
        <f t="shared" si="27"/>
        <v>0.29902986348122873</v>
      </c>
      <c r="P67" s="315">
        <f t="shared" si="27"/>
        <v>0.29903583617747448</v>
      </c>
      <c r="Q67" s="315">
        <f t="shared" si="27"/>
        <v>0.29904180887372023</v>
      </c>
      <c r="R67" s="315">
        <f t="shared" si="27"/>
        <v>0.29904778156996586</v>
      </c>
      <c r="S67" s="315">
        <f t="shared" si="27"/>
        <v>0.29903276450511945</v>
      </c>
      <c r="T67" s="315">
        <f t="shared" si="27"/>
        <v>0.29901774744027304</v>
      </c>
      <c r="U67" s="315">
        <f t="shared" si="27"/>
        <v>0.29900273037542663</v>
      </c>
      <c r="V67" s="315">
        <f t="shared" si="27"/>
        <v>0.29898771331058022</v>
      </c>
      <c r="W67" s="315">
        <f t="shared" si="27"/>
        <v>0.2989726962457338</v>
      </c>
      <c r="X67" s="315">
        <f t="shared" si="27"/>
        <v>0.29895767918088739</v>
      </c>
      <c r="Y67" s="315">
        <f t="shared" si="27"/>
        <v>0.29894266211604098</v>
      </c>
      <c r="Z67" s="315">
        <f t="shared" si="27"/>
        <v>0.29892764505119457</v>
      </c>
      <c r="AA67" s="315">
        <f t="shared" si="27"/>
        <v>0.29891262798634816</v>
      </c>
      <c r="AB67" s="315">
        <f t="shared" si="27"/>
        <v>0.29889761092150169</v>
      </c>
      <c r="AC67" s="315">
        <f t="shared" si="27"/>
        <v>0.29887164826846108</v>
      </c>
      <c r="AD67" s="315">
        <f t="shared" si="27"/>
        <v>0.29884568561542046</v>
      </c>
      <c r="AE67" s="315">
        <f t="shared" si="27"/>
        <v>0.29881972296237985</v>
      </c>
      <c r="AF67" s="315">
        <f t="shared" si="27"/>
        <v>0.29879376030933924</v>
      </c>
      <c r="AG67" s="315">
        <f t="shared" si="27"/>
        <v>0.29876779765629863</v>
      </c>
      <c r="AH67" s="315">
        <f t="shared" si="27"/>
        <v>0.29874183500325802</v>
      </c>
      <c r="AI67" s="315">
        <f t="shared" si="27"/>
        <v>0.2987158723502174</v>
      </c>
      <c r="AJ67" s="315">
        <f t="shared" si="27"/>
        <v>0.29868990969717679</v>
      </c>
      <c r="AK67" s="315">
        <f t="shared" si="27"/>
        <v>0.29866394704413618</v>
      </c>
      <c r="AL67" s="315">
        <f t="shared" si="27"/>
        <v>0.29863798439109573</v>
      </c>
      <c r="AM67" s="315">
        <f t="shared" si="27"/>
        <v>0.29860113855271453</v>
      </c>
      <c r="AN67" s="315">
        <f t="shared" si="27"/>
        <v>0.29826952600728368</v>
      </c>
      <c r="AO67" s="315">
        <f t="shared" si="27"/>
        <v>0.29826952600728368</v>
      </c>
      <c r="AP67" s="315">
        <f t="shared" si="27"/>
        <v>0.29826952600728368</v>
      </c>
    </row>
    <row r="68" spans="1:42">
      <c r="A68" s="315" t="s">
        <v>16</v>
      </c>
      <c r="C68" s="315" t="str">
        <f t="shared" si="21"/>
        <v>Water Heating Geyser</v>
      </c>
      <c r="E68" s="186">
        <f t="shared" si="22"/>
        <v>0.69799999999999995</v>
      </c>
      <c r="F68" s="186">
        <f t="shared" si="22"/>
        <v>0.69809556313993171</v>
      </c>
      <c r="G68" s="186">
        <f t="shared" si="22"/>
        <v>0.69779522184300335</v>
      </c>
      <c r="H68" s="186">
        <f t="shared" si="22"/>
        <v>0.69727596878219145</v>
      </c>
      <c r="I68" s="186">
        <f t="shared" si="22"/>
        <v>0.69653905201456734</v>
      </c>
      <c r="J68" s="315">
        <f t="shared" ref="J68:AP68" si="28">IF(J$7=-1,K68,IF(J$7=99,I68,IF(J$7=0,INDEX($E68:$I68,0,J$5),(INDEX($E68:$I68,0,J$7+1)-INDEX($E68:$I68,0,J$7))/(INDEX($E$4:$I$4,0,J$7+1)-INDEX($E$4:$I$4,0,J$7))+I68)))</f>
        <v>0.69799999999999995</v>
      </c>
      <c r="K68" s="315">
        <f t="shared" si="28"/>
        <v>0.69801194539249145</v>
      </c>
      <c r="L68" s="315">
        <f t="shared" si="28"/>
        <v>0.69802389078498295</v>
      </c>
      <c r="M68" s="315">
        <f t="shared" si="28"/>
        <v>0.69803583617747444</v>
      </c>
      <c r="N68" s="315">
        <f t="shared" si="28"/>
        <v>0.69804778156996594</v>
      </c>
      <c r="O68" s="315">
        <f t="shared" si="28"/>
        <v>0.69805972696245744</v>
      </c>
      <c r="P68" s="315">
        <f t="shared" si="28"/>
        <v>0.69807167235494894</v>
      </c>
      <c r="Q68" s="315">
        <f t="shared" si="28"/>
        <v>0.69808361774744043</v>
      </c>
      <c r="R68" s="315">
        <f t="shared" si="28"/>
        <v>0.69809556313993171</v>
      </c>
      <c r="S68" s="315">
        <f t="shared" si="28"/>
        <v>0.69806552901023888</v>
      </c>
      <c r="T68" s="315">
        <f t="shared" si="28"/>
        <v>0.69803549488054606</v>
      </c>
      <c r="U68" s="315">
        <f t="shared" si="28"/>
        <v>0.69800546075085323</v>
      </c>
      <c r="V68" s="315">
        <f t="shared" si="28"/>
        <v>0.69797542662116041</v>
      </c>
      <c r="W68" s="315">
        <f t="shared" si="28"/>
        <v>0.69794539249146759</v>
      </c>
      <c r="X68" s="315">
        <f t="shared" si="28"/>
        <v>0.69791535836177476</v>
      </c>
      <c r="Y68" s="315">
        <f t="shared" si="28"/>
        <v>0.69788532423208194</v>
      </c>
      <c r="Z68" s="315">
        <f t="shared" si="28"/>
        <v>0.69785529010238911</v>
      </c>
      <c r="AA68" s="315">
        <f t="shared" si="28"/>
        <v>0.69782525597269629</v>
      </c>
      <c r="AB68" s="315">
        <f t="shared" si="28"/>
        <v>0.69779522184300335</v>
      </c>
      <c r="AC68" s="315">
        <f t="shared" si="28"/>
        <v>0.69774329653692213</v>
      </c>
      <c r="AD68" s="315">
        <f t="shared" si="28"/>
        <v>0.69769137123084091</v>
      </c>
      <c r="AE68" s="315">
        <f t="shared" si="28"/>
        <v>0.69763944592475968</v>
      </c>
      <c r="AF68" s="315">
        <f t="shared" si="28"/>
        <v>0.69758752061867846</v>
      </c>
      <c r="AG68" s="315">
        <f t="shared" si="28"/>
        <v>0.69753559531259723</v>
      </c>
      <c r="AH68" s="315">
        <f t="shared" si="28"/>
        <v>0.69748367000651601</v>
      </c>
      <c r="AI68" s="315">
        <f t="shared" si="28"/>
        <v>0.69743174470043479</v>
      </c>
      <c r="AJ68" s="315">
        <f t="shared" si="28"/>
        <v>0.69737981939435356</v>
      </c>
      <c r="AK68" s="315">
        <f t="shared" si="28"/>
        <v>0.69732789408827234</v>
      </c>
      <c r="AL68" s="315">
        <f t="shared" si="28"/>
        <v>0.69727596878219145</v>
      </c>
      <c r="AM68" s="315">
        <f t="shared" si="28"/>
        <v>0.69720227710542904</v>
      </c>
      <c r="AN68" s="315">
        <f t="shared" si="28"/>
        <v>0.69653905201456734</v>
      </c>
      <c r="AO68" s="315">
        <f t="shared" si="28"/>
        <v>0.69653905201456734</v>
      </c>
      <c r="AP68" s="315">
        <f t="shared" si="28"/>
        <v>0.69653905201456734</v>
      </c>
    </row>
    <row r="69" spans="1:42">
      <c r="A69" s="315" t="s">
        <v>16</v>
      </c>
      <c r="C69" s="315" t="str">
        <f t="shared" si="21"/>
        <v>Water Heating</v>
      </c>
      <c r="E69" s="186">
        <f t="shared" si="22"/>
        <v>0</v>
      </c>
      <c r="F69" s="186">
        <f t="shared" si="22"/>
        <v>0</v>
      </c>
      <c r="G69" s="186">
        <f t="shared" si="22"/>
        <v>0</v>
      </c>
      <c r="H69" s="186">
        <f t="shared" si="22"/>
        <v>0</v>
      </c>
      <c r="I69" s="186">
        <f t="shared" si="22"/>
        <v>0</v>
      </c>
      <c r="J69" s="315">
        <f t="shared" ref="J69:AP69" si="29">IF(J$7=-1,K69,IF(J$7=99,I69,IF(J$7=0,INDEX($E69:$I69,0,J$5),(INDEX($E69:$I69,0,J$7+1)-INDEX($E69:$I69,0,J$7))/(INDEX($E$4:$I$4,0,J$7+1)-INDEX($E$4:$I$4,0,J$7))+I69)))</f>
        <v>0</v>
      </c>
      <c r="K69" s="315">
        <f t="shared" si="29"/>
        <v>0</v>
      </c>
      <c r="L69" s="315">
        <f t="shared" si="29"/>
        <v>0</v>
      </c>
      <c r="M69" s="315">
        <f t="shared" si="29"/>
        <v>0</v>
      </c>
      <c r="N69" s="315">
        <f t="shared" si="29"/>
        <v>0</v>
      </c>
      <c r="O69" s="315">
        <f t="shared" si="29"/>
        <v>0</v>
      </c>
      <c r="P69" s="315">
        <f t="shared" si="29"/>
        <v>0</v>
      </c>
      <c r="Q69" s="315">
        <f t="shared" si="29"/>
        <v>0</v>
      </c>
      <c r="R69" s="315">
        <f t="shared" si="29"/>
        <v>0</v>
      </c>
      <c r="S69" s="315">
        <f t="shared" si="29"/>
        <v>0</v>
      </c>
      <c r="T69" s="315">
        <f t="shared" si="29"/>
        <v>0</v>
      </c>
      <c r="U69" s="315">
        <f t="shared" si="29"/>
        <v>0</v>
      </c>
      <c r="V69" s="315">
        <f t="shared" si="29"/>
        <v>0</v>
      </c>
      <c r="W69" s="315">
        <f t="shared" si="29"/>
        <v>0</v>
      </c>
      <c r="X69" s="315">
        <f t="shared" si="29"/>
        <v>0</v>
      </c>
      <c r="Y69" s="315">
        <f t="shared" si="29"/>
        <v>0</v>
      </c>
      <c r="Z69" s="315">
        <f t="shared" si="29"/>
        <v>0</v>
      </c>
      <c r="AA69" s="315">
        <f t="shared" si="29"/>
        <v>0</v>
      </c>
      <c r="AB69" s="315">
        <f t="shared" si="29"/>
        <v>0</v>
      </c>
      <c r="AC69" s="315">
        <f t="shared" si="29"/>
        <v>0</v>
      </c>
      <c r="AD69" s="315">
        <f t="shared" si="29"/>
        <v>0</v>
      </c>
      <c r="AE69" s="315">
        <f t="shared" si="29"/>
        <v>0</v>
      </c>
      <c r="AF69" s="315">
        <f t="shared" si="29"/>
        <v>0</v>
      </c>
      <c r="AG69" s="315">
        <f t="shared" si="29"/>
        <v>0</v>
      </c>
      <c r="AH69" s="315">
        <f t="shared" si="29"/>
        <v>0</v>
      </c>
      <c r="AI69" s="315">
        <f t="shared" si="29"/>
        <v>0</v>
      </c>
      <c r="AJ69" s="315">
        <f t="shared" si="29"/>
        <v>0</v>
      </c>
      <c r="AK69" s="315">
        <f t="shared" si="29"/>
        <v>0</v>
      </c>
      <c r="AL69" s="315">
        <f t="shared" si="29"/>
        <v>0</v>
      </c>
      <c r="AM69" s="315">
        <f t="shared" si="29"/>
        <v>0</v>
      </c>
      <c r="AN69" s="315">
        <f t="shared" si="29"/>
        <v>0</v>
      </c>
      <c r="AO69" s="315">
        <f t="shared" si="29"/>
        <v>0</v>
      </c>
      <c r="AP69" s="315">
        <f t="shared" si="29"/>
        <v>0</v>
      </c>
    </row>
    <row r="70" spans="1:42">
      <c r="A70" s="315" t="s">
        <v>16</v>
      </c>
    </row>
    <row r="71" spans="1:42">
      <c r="A71" s="315" t="s">
        <v>16</v>
      </c>
      <c r="C71" s="208" t="s">
        <v>547</v>
      </c>
      <c r="D71" s="209" t="s">
        <v>548</v>
      </c>
      <c r="E71" s="210"/>
      <c r="F71" s="210"/>
      <c r="G71" s="210"/>
      <c r="H71" s="210"/>
      <c r="I71" s="210"/>
      <c r="J71" s="209"/>
      <c r="K71" s="209"/>
      <c r="L71" s="209"/>
      <c r="M71" s="209"/>
      <c r="N71" s="209"/>
    </row>
    <row r="72" spans="1:42">
      <c r="A72" s="315" t="s">
        <v>16</v>
      </c>
      <c r="E72" s="186"/>
      <c r="F72" s="186"/>
      <c r="G72" s="186"/>
      <c r="H72" s="186"/>
      <c r="I72" s="186"/>
      <c r="J72" s="315"/>
    </row>
    <row r="73" spans="1:42">
      <c r="A73" s="315" t="s">
        <v>16</v>
      </c>
      <c r="E73" s="186"/>
      <c r="F73" s="186"/>
      <c r="G73" s="186"/>
      <c r="H73" s="186"/>
      <c r="I73" s="186"/>
      <c r="J73" s="315">
        <f t="shared" ref="J73:AP73" si="30">J97</f>
        <v>2012</v>
      </c>
      <c r="K73" s="315">
        <f t="shared" si="30"/>
        <v>2013</v>
      </c>
      <c r="L73" s="315">
        <f t="shared" si="30"/>
        <v>2014</v>
      </c>
      <c r="M73" s="315">
        <f t="shared" si="30"/>
        <v>2015</v>
      </c>
      <c r="N73" s="315">
        <f t="shared" si="30"/>
        <v>2016</v>
      </c>
      <c r="O73" s="315">
        <f t="shared" si="30"/>
        <v>2017</v>
      </c>
      <c r="P73" s="315">
        <f t="shared" si="30"/>
        <v>2018</v>
      </c>
      <c r="Q73" s="315">
        <f t="shared" si="30"/>
        <v>2019</v>
      </c>
      <c r="R73" s="315">
        <f t="shared" si="30"/>
        <v>2020</v>
      </c>
      <c r="S73" s="315">
        <f t="shared" si="30"/>
        <v>2021</v>
      </c>
      <c r="T73" s="315">
        <f t="shared" si="30"/>
        <v>2022</v>
      </c>
      <c r="U73" s="315">
        <f t="shared" si="30"/>
        <v>2023</v>
      </c>
      <c r="V73" s="315">
        <f t="shared" si="30"/>
        <v>2024</v>
      </c>
      <c r="W73" s="315">
        <f t="shared" si="30"/>
        <v>2025</v>
      </c>
      <c r="X73" s="315">
        <f t="shared" si="30"/>
        <v>2026</v>
      </c>
      <c r="Y73" s="315">
        <f t="shared" si="30"/>
        <v>2027</v>
      </c>
      <c r="Z73" s="315">
        <f t="shared" si="30"/>
        <v>2028</v>
      </c>
      <c r="AA73" s="315">
        <f t="shared" si="30"/>
        <v>2029</v>
      </c>
      <c r="AB73" s="315">
        <f t="shared" si="30"/>
        <v>2030</v>
      </c>
      <c r="AC73" s="315">
        <f t="shared" si="30"/>
        <v>2031</v>
      </c>
      <c r="AD73" s="315">
        <f t="shared" si="30"/>
        <v>2032</v>
      </c>
      <c r="AE73" s="315">
        <f t="shared" si="30"/>
        <v>2033</v>
      </c>
      <c r="AF73" s="315">
        <f t="shared" si="30"/>
        <v>2034</v>
      </c>
      <c r="AG73" s="315">
        <f t="shared" si="30"/>
        <v>2035</v>
      </c>
      <c r="AH73" s="315">
        <f t="shared" si="30"/>
        <v>2036</v>
      </c>
      <c r="AI73" s="315">
        <f t="shared" si="30"/>
        <v>2037</v>
      </c>
      <c r="AJ73" s="315">
        <f t="shared" si="30"/>
        <v>2038</v>
      </c>
      <c r="AK73" s="315">
        <f t="shared" si="30"/>
        <v>2039</v>
      </c>
      <c r="AL73" s="315">
        <f t="shared" si="30"/>
        <v>2040</v>
      </c>
      <c r="AM73" s="315">
        <f t="shared" si="30"/>
        <v>2045</v>
      </c>
      <c r="AN73" s="315">
        <f t="shared" si="30"/>
        <v>2050</v>
      </c>
      <c r="AO73" s="315">
        <f t="shared" si="30"/>
        <v>2060</v>
      </c>
      <c r="AP73" s="315">
        <f t="shared" si="30"/>
        <v>2070</v>
      </c>
    </row>
    <row r="74" spans="1:42">
      <c r="A74" s="315" t="s">
        <v>16</v>
      </c>
      <c r="C74" s="315" t="s">
        <v>549</v>
      </c>
      <c r="E74" s="186"/>
      <c r="F74" s="186"/>
      <c r="G74" s="186"/>
      <c r="H74" s="186"/>
      <c r="I74" s="186"/>
      <c r="J74" s="186">
        <f t="shared" ref="J74:AP74" si="31">J102+J113+J123</f>
        <v>34.923529729808884</v>
      </c>
      <c r="K74" s="186">
        <f t="shared" si="31"/>
        <v>34.408989331445348</v>
      </c>
      <c r="L74" s="186">
        <f t="shared" si="31"/>
        <v>33.894448933081804</v>
      </c>
      <c r="M74" s="186">
        <f t="shared" si="31"/>
        <v>33.379908534718268</v>
      </c>
      <c r="N74" s="186">
        <f t="shared" si="31"/>
        <v>32.865368136354732</v>
      </c>
      <c r="O74" s="186">
        <f t="shared" si="31"/>
        <v>32.350827737991196</v>
      </c>
      <c r="P74" s="186">
        <f t="shared" ca="1" si="31"/>
        <v>32.965370489947432</v>
      </c>
      <c r="Q74" s="186">
        <f t="shared" ca="1" si="31"/>
        <v>33.545059897513539</v>
      </c>
      <c r="R74" s="186">
        <f t="shared" ca="1" si="31"/>
        <v>34.035696055501262</v>
      </c>
      <c r="S74" s="186">
        <f t="shared" ca="1" si="31"/>
        <v>34.153207673236587</v>
      </c>
      <c r="T74" s="186">
        <f t="shared" ca="1" si="31"/>
        <v>34.631709532430811</v>
      </c>
      <c r="U74" s="186">
        <f t="shared" ca="1" si="31"/>
        <v>35.112274778460552</v>
      </c>
      <c r="V74" s="186">
        <f t="shared" ca="1" si="31"/>
        <v>35.60282374672834</v>
      </c>
      <c r="W74" s="186">
        <f t="shared" ca="1" si="31"/>
        <v>36.094068515834778</v>
      </c>
      <c r="X74" s="186">
        <f t="shared" ca="1" si="31"/>
        <v>36.545145084968361</v>
      </c>
      <c r="Y74" s="186">
        <f t="shared" ca="1" si="31"/>
        <v>37.01427128728718</v>
      </c>
      <c r="Z74" s="186">
        <f t="shared" ca="1" si="31"/>
        <v>37.487181494965967</v>
      </c>
      <c r="AA74" s="186">
        <f t="shared" ca="1" si="31"/>
        <v>37.971843006199506</v>
      </c>
      <c r="AB74" s="186">
        <f t="shared" ca="1" si="31"/>
        <v>38.464152955669547</v>
      </c>
      <c r="AC74" s="186">
        <f t="shared" ca="1" si="31"/>
        <v>38.907332563609067</v>
      </c>
      <c r="AD74" s="186">
        <f t="shared" ca="1" si="31"/>
        <v>39.359588570767407</v>
      </c>
      <c r="AE74" s="186">
        <f t="shared" ca="1" si="31"/>
        <v>39.811921734950261</v>
      </c>
      <c r="AF74" s="186">
        <f t="shared" ca="1" si="31"/>
        <v>40.27741739340361</v>
      </c>
      <c r="AG74" s="186">
        <f t="shared" ca="1" si="31"/>
        <v>40.752297944050156</v>
      </c>
      <c r="AH74" s="186">
        <f t="shared" ca="1" si="31"/>
        <v>41.18324650551132</v>
      </c>
      <c r="AI74" s="186">
        <f t="shared" ca="1" si="31"/>
        <v>41.611497759523445</v>
      </c>
      <c r="AJ74" s="186">
        <f t="shared" ca="1" si="31"/>
        <v>42.040077292622314</v>
      </c>
      <c r="AK74" s="186">
        <f t="shared" ca="1" si="31"/>
        <v>42.467677004038535</v>
      </c>
      <c r="AL74" s="186">
        <f t="shared" ca="1" si="31"/>
        <v>42.89835596380442</v>
      </c>
      <c r="AM74" s="186">
        <f t="shared" ca="1" si="31"/>
        <v>44.841543201858414</v>
      </c>
      <c r="AN74" s="186">
        <f t="shared" ca="1" si="31"/>
        <v>46.563388594411606</v>
      </c>
      <c r="AO74" s="186">
        <f t="shared" ca="1" si="31"/>
        <v>46.563388594411606</v>
      </c>
      <c r="AP74" s="186">
        <f t="shared" ca="1" si="31"/>
        <v>46.563388594411606</v>
      </c>
    </row>
    <row r="75" spans="1:42">
      <c r="A75" s="315" t="s">
        <v>16</v>
      </c>
      <c r="C75" s="315" t="s">
        <v>550</v>
      </c>
      <c r="D75" s="186" t="s">
        <v>487</v>
      </c>
      <c r="E75" s="211">
        <f>IF(E78=1,0.2,IF(E78=2,0.13,IF(E78=3,0.2,0.2)))</f>
        <v>0.2</v>
      </c>
      <c r="F75" s="186"/>
      <c r="G75" s="186"/>
      <c r="H75" s="186"/>
      <c r="I75" s="186"/>
      <c r="J75" s="315"/>
      <c r="M75" s="190">
        <v>0</v>
      </c>
      <c r="N75" s="190">
        <f t="shared" ref="N75:AA75" si="32">(($AB$75-$M$75)/($AB$73-$M$73))*(N$73-$M$73)</f>
        <v>1.3333333333333334E-2</v>
      </c>
      <c r="O75" s="190">
        <f t="shared" si="32"/>
        <v>2.6666666666666668E-2</v>
      </c>
      <c r="P75" s="190">
        <f t="shared" si="32"/>
        <v>0.04</v>
      </c>
      <c r="Q75" s="190">
        <f t="shared" si="32"/>
        <v>5.3333333333333337E-2</v>
      </c>
      <c r="R75" s="190">
        <f t="shared" si="32"/>
        <v>6.6666666666666666E-2</v>
      </c>
      <c r="S75" s="190">
        <f t="shared" si="32"/>
        <v>0.08</v>
      </c>
      <c r="T75" s="190">
        <f t="shared" si="32"/>
        <v>9.3333333333333338E-2</v>
      </c>
      <c r="U75" s="190">
        <f t="shared" si="32"/>
        <v>0.10666666666666667</v>
      </c>
      <c r="V75" s="190">
        <f t="shared" si="32"/>
        <v>0.12000000000000001</v>
      </c>
      <c r="W75" s="190">
        <f t="shared" si="32"/>
        <v>0.13333333333333333</v>
      </c>
      <c r="X75" s="190">
        <f t="shared" si="32"/>
        <v>0.14666666666666667</v>
      </c>
      <c r="Y75" s="190">
        <f t="shared" si="32"/>
        <v>0.16</v>
      </c>
      <c r="Z75" s="190">
        <f t="shared" si="32"/>
        <v>0.17333333333333334</v>
      </c>
      <c r="AA75" s="190">
        <f t="shared" si="32"/>
        <v>0.18666666666666668</v>
      </c>
      <c r="AB75" s="30">
        <f>$E$75</f>
        <v>0.2</v>
      </c>
      <c r="AC75" s="190">
        <f t="shared" ref="AC75:AP75" si="33">AB75</f>
        <v>0.2</v>
      </c>
      <c r="AD75" s="190">
        <f t="shared" si="33"/>
        <v>0.2</v>
      </c>
      <c r="AE75" s="190">
        <f t="shared" si="33"/>
        <v>0.2</v>
      </c>
      <c r="AF75" s="190">
        <f t="shared" si="33"/>
        <v>0.2</v>
      </c>
      <c r="AG75" s="190">
        <f t="shared" si="33"/>
        <v>0.2</v>
      </c>
      <c r="AH75" s="190">
        <f t="shared" si="33"/>
        <v>0.2</v>
      </c>
      <c r="AI75" s="190">
        <f t="shared" si="33"/>
        <v>0.2</v>
      </c>
      <c r="AJ75" s="190">
        <f t="shared" si="33"/>
        <v>0.2</v>
      </c>
      <c r="AK75" s="190">
        <f t="shared" si="33"/>
        <v>0.2</v>
      </c>
      <c r="AL75" s="190">
        <f t="shared" si="33"/>
        <v>0.2</v>
      </c>
      <c r="AM75" s="190">
        <f t="shared" si="33"/>
        <v>0.2</v>
      </c>
      <c r="AN75" s="190">
        <f t="shared" si="33"/>
        <v>0.2</v>
      </c>
      <c r="AO75" s="190">
        <f t="shared" si="33"/>
        <v>0.2</v>
      </c>
      <c r="AP75" s="190">
        <f t="shared" si="33"/>
        <v>0.2</v>
      </c>
    </row>
    <row r="76" spans="1:42">
      <c r="A76" s="315" t="s">
        <v>16</v>
      </c>
      <c r="D76" s="315" t="s">
        <v>488</v>
      </c>
      <c r="E76" s="211">
        <f>IF(E78=1,0.2,IF(E78=2,0.13,IF(E78=3,0.2,0.2)))</f>
        <v>0.2</v>
      </c>
      <c r="F76" s="186"/>
      <c r="G76" s="186"/>
      <c r="H76" s="186"/>
      <c r="I76" s="186"/>
      <c r="J76" s="315"/>
      <c r="M76" s="190">
        <v>0</v>
      </c>
      <c r="N76" s="190">
        <f t="shared" ref="N76:AA76" si="34">(($AB$76-$M$76)/($AB$73-$M$73))*(N$73-$M$73)</f>
        <v>1.3333333333333334E-2</v>
      </c>
      <c r="O76" s="190">
        <f t="shared" si="34"/>
        <v>2.6666666666666668E-2</v>
      </c>
      <c r="P76" s="190">
        <f t="shared" si="34"/>
        <v>0.04</v>
      </c>
      <c r="Q76" s="190">
        <f t="shared" si="34"/>
        <v>5.3333333333333337E-2</v>
      </c>
      <c r="R76" s="190">
        <f t="shared" si="34"/>
        <v>6.6666666666666666E-2</v>
      </c>
      <c r="S76" s="190">
        <f t="shared" si="34"/>
        <v>0.08</v>
      </c>
      <c r="T76" s="190">
        <f t="shared" si="34"/>
        <v>9.3333333333333338E-2</v>
      </c>
      <c r="U76" s="190">
        <f t="shared" si="34"/>
        <v>0.10666666666666667</v>
      </c>
      <c r="V76" s="190">
        <f t="shared" si="34"/>
        <v>0.12000000000000001</v>
      </c>
      <c r="W76" s="190">
        <f t="shared" si="34"/>
        <v>0.13333333333333333</v>
      </c>
      <c r="X76" s="190">
        <f t="shared" si="34"/>
        <v>0.14666666666666667</v>
      </c>
      <c r="Y76" s="190">
        <f t="shared" si="34"/>
        <v>0.16</v>
      </c>
      <c r="Z76" s="190">
        <f t="shared" si="34"/>
        <v>0.17333333333333334</v>
      </c>
      <c r="AA76" s="190">
        <f t="shared" si="34"/>
        <v>0.18666666666666668</v>
      </c>
      <c r="AB76" s="30">
        <f>$E$76</f>
        <v>0.2</v>
      </c>
      <c r="AC76" s="190">
        <f t="shared" ref="AC76:AP76" si="35">AB76</f>
        <v>0.2</v>
      </c>
      <c r="AD76" s="190">
        <f t="shared" si="35"/>
        <v>0.2</v>
      </c>
      <c r="AE76" s="190">
        <f t="shared" si="35"/>
        <v>0.2</v>
      </c>
      <c r="AF76" s="190">
        <f t="shared" si="35"/>
        <v>0.2</v>
      </c>
      <c r="AG76" s="190">
        <f t="shared" si="35"/>
        <v>0.2</v>
      </c>
      <c r="AH76" s="190">
        <f t="shared" si="35"/>
        <v>0.2</v>
      </c>
      <c r="AI76" s="190">
        <f t="shared" si="35"/>
        <v>0.2</v>
      </c>
      <c r="AJ76" s="190">
        <f t="shared" si="35"/>
        <v>0.2</v>
      </c>
      <c r="AK76" s="190">
        <f t="shared" si="35"/>
        <v>0.2</v>
      </c>
      <c r="AL76" s="190">
        <f t="shared" si="35"/>
        <v>0.2</v>
      </c>
      <c r="AM76" s="190">
        <f t="shared" si="35"/>
        <v>0.2</v>
      </c>
      <c r="AN76" s="190">
        <f t="shared" si="35"/>
        <v>0.2</v>
      </c>
      <c r="AO76" s="190">
        <f t="shared" si="35"/>
        <v>0.2</v>
      </c>
      <c r="AP76" s="190">
        <f t="shared" si="35"/>
        <v>0.2</v>
      </c>
    </row>
    <row r="77" spans="1:42">
      <c r="A77" s="315" t="s">
        <v>16</v>
      </c>
      <c r="C77" s="315" t="s">
        <v>551</v>
      </c>
      <c r="E77" s="186"/>
      <c r="F77" s="186"/>
      <c r="G77" s="186"/>
      <c r="H77" s="186"/>
      <c r="I77" s="186"/>
      <c r="J77" s="186">
        <f>J$74</f>
        <v>34.923529729808884</v>
      </c>
      <c r="K77" s="186">
        <f>K$74</f>
        <v>34.408989331445348</v>
      </c>
      <c r="L77" s="186">
        <f>L$74</f>
        <v>33.894448933081804</v>
      </c>
      <c r="M77" s="186">
        <f>M$74</f>
        <v>33.379908534718268</v>
      </c>
      <c r="N77" s="186">
        <f t="shared" ref="N77:AP77" si="36">(($M$74*(1-N$75))+((N74-$M$74)*(1-N$76)))</f>
        <v>32.427163227869997</v>
      </c>
      <c r="O77" s="186">
        <f t="shared" si="36"/>
        <v>31.488138998311435</v>
      </c>
      <c r="P77" s="186">
        <f t="shared" ca="1" si="36"/>
        <v>31.646755670349535</v>
      </c>
      <c r="Q77" s="186">
        <f t="shared" ca="1" si="36"/>
        <v>31.755990036312816</v>
      </c>
      <c r="R77" s="186">
        <f t="shared" ca="1" si="36"/>
        <v>31.766649651801178</v>
      </c>
      <c r="S77" s="186">
        <f t="shared" ca="1" si="36"/>
        <v>31.420951059377661</v>
      </c>
      <c r="T77" s="186">
        <f t="shared" ca="1" si="36"/>
        <v>31.399416642737268</v>
      </c>
      <c r="U77" s="186">
        <f t="shared" ca="1" si="36"/>
        <v>31.366965468758092</v>
      </c>
      <c r="V77" s="186">
        <f t="shared" ca="1" si="36"/>
        <v>31.33048489712094</v>
      </c>
      <c r="W77" s="186">
        <f t="shared" ca="1" si="36"/>
        <v>31.281526047056808</v>
      </c>
      <c r="X77" s="186">
        <f t="shared" ca="1" si="36"/>
        <v>31.185190472506335</v>
      </c>
      <c r="Y77" s="186">
        <f t="shared" ca="1" si="36"/>
        <v>31.091987881321227</v>
      </c>
      <c r="Z77" s="186">
        <f t="shared" ca="1" si="36"/>
        <v>30.989403369171864</v>
      </c>
      <c r="AA77" s="186">
        <f t="shared" ca="1" si="36"/>
        <v>30.883765645042267</v>
      </c>
      <c r="AB77" s="186">
        <f t="shared" ca="1" si="36"/>
        <v>30.771322364535639</v>
      </c>
      <c r="AC77" s="186">
        <f t="shared" ca="1" si="36"/>
        <v>31.125866050887254</v>
      </c>
      <c r="AD77" s="186">
        <f t="shared" ca="1" si="36"/>
        <v>31.487670856613928</v>
      </c>
      <c r="AE77" s="186">
        <f t="shared" ca="1" si="36"/>
        <v>31.849537387960211</v>
      </c>
      <c r="AF77" s="186">
        <f t="shared" ca="1" si="36"/>
        <v>32.221933914722889</v>
      </c>
      <c r="AG77" s="186">
        <f t="shared" ca="1" si="36"/>
        <v>32.601838355240126</v>
      </c>
      <c r="AH77" s="186">
        <f t="shared" ca="1" si="36"/>
        <v>32.946597204409059</v>
      </c>
      <c r="AI77" s="186">
        <f t="shared" ca="1" si="36"/>
        <v>33.28919820761876</v>
      </c>
      <c r="AJ77" s="186">
        <f t="shared" ca="1" si="36"/>
        <v>33.632061834097854</v>
      </c>
      <c r="AK77" s="186">
        <f t="shared" ca="1" si="36"/>
        <v>33.974141603230834</v>
      </c>
      <c r="AL77" s="186">
        <f t="shared" ca="1" si="36"/>
        <v>34.318684771043536</v>
      </c>
      <c r="AM77" s="186">
        <f t="shared" ca="1" si="36"/>
        <v>35.873234561486733</v>
      </c>
      <c r="AN77" s="186">
        <f t="shared" ca="1" si="36"/>
        <v>37.250710875529286</v>
      </c>
      <c r="AO77" s="186">
        <f t="shared" ca="1" si="36"/>
        <v>37.250710875529286</v>
      </c>
      <c r="AP77" s="186">
        <f t="shared" ca="1" si="36"/>
        <v>37.250710875529286</v>
      </c>
    </row>
    <row r="78" spans="1:42">
      <c r="A78" s="315" t="s">
        <v>16</v>
      </c>
      <c r="D78" s="315" t="s">
        <v>552</v>
      </c>
      <c r="E78" s="212">
        <f>DriversGams!$A$163</f>
        <v>-1</v>
      </c>
      <c r="F78" s="315" t="s">
        <v>553</v>
      </c>
      <c r="H78" s="91">
        <v>1</v>
      </c>
      <c r="I78" s="91" t="s">
        <v>636</v>
      </c>
    </row>
    <row r="79" spans="1:42">
      <c r="A79" s="315" t="s">
        <v>16</v>
      </c>
      <c r="B79" s="228"/>
      <c r="D79" s="186"/>
      <c r="H79" s="91">
        <v>2</v>
      </c>
      <c r="I79" s="91" t="s">
        <v>640</v>
      </c>
      <c r="O79" s="5"/>
    </row>
    <row r="80" spans="1:42">
      <c r="A80" s="315" t="s">
        <v>16</v>
      </c>
      <c r="B80" s="228"/>
      <c r="D80" s="186"/>
      <c r="H80" s="91">
        <v>3</v>
      </c>
      <c r="I80" s="177" t="s">
        <v>636</v>
      </c>
      <c r="J80" s="213">
        <f t="shared" ref="J80:AP80" si="37">J73</f>
        <v>2012</v>
      </c>
      <c r="K80" s="7">
        <f t="shared" si="37"/>
        <v>2013</v>
      </c>
      <c r="L80" s="7">
        <f t="shared" si="37"/>
        <v>2014</v>
      </c>
      <c r="M80" s="7">
        <f t="shared" si="37"/>
        <v>2015</v>
      </c>
      <c r="N80" s="7">
        <f t="shared" si="37"/>
        <v>2016</v>
      </c>
      <c r="O80" s="7">
        <f t="shared" si="37"/>
        <v>2017</v>
      </c>
      <c r="P80" s="7">
        <f t="shared" si="37"/>
        <v>2018</v>
      </c>
      <c r="Q80" s="7">
        <f t="shared" si="37"/>
        <v>2019</v>
      </c>
      <c r="R80" s="7">
        <f t="shared" si="37"/>
        <v>2020</v>
      </c>
      <c r="S80" s="7">
        <f t="shared" si="37"/>
        <v>2021</v>
      </c>
      <c r="T80" s="7">
        <f t="shared" si="37"/>
        <v>2022</v>
      </c>
      <c r="U80" s="7">
        <f t="shared" si="37"/>
        <v>2023</v>
      </c>
      <c r="V80" s="7">
        <f t="shared" si="37"/>
        <v>2024</v>
      </c>
      <c r="W80" s="7">
        <f t="shared" si="37"/>
        <v>2025</v>
      </c>
      <c r="X80" s="7">
        <f t="shared" si="37"/>
        <v>2026</v>
      </c>
      <c r="Y80" s="7">
        <f t="shared" si="37"/>
        <v>2027</v>
      </c>
      <c r="Z80" s="7">
        <f t="shared" si="37"/>
        <v>2028</v>
      </c>
      <c r="AA80" s="7">
        <f t="shared" si="37"/>
        <v>2029</v>
      </c>
      <c r="AB80" s="7">
        <f t="shared" si="37"/>
        <v>2030</v>
      </c>
      <c r="AC80" s="7">
        <f t="shared" si="37"/>
        <v>2031</v>
      </c>
      <c r="AD80" s="7">
        <f t="shared" si="37"/>
        <v>2032</v>
      </c>
      <c r="AE80" s="7">
        <f t="shared" si="37"/>
        <v>2033</v>
      </c>
      <c r="AF80" s="7">
        <f t="shared" si="37"/>
        <v>2034</v>
      </c>
      <c r="AG80" s="7">
        <f t="shared" si="37"/>
        <v>2035</v>
      </c>
      <c r="AH80" s="7">
        <f t="shared" si="37"/>
        <v>2036</v>
      </c>
      <c r="AI80" s="7">
        <f t="shared" si="37"/>
        <v>2037</v>
      </c>
      <c r="AJ80" s="7">
        <f t="shared" si="37"/>
        <v>2038</v>
      </c>
      <c r="AK80" s="7">
        <f t="shared" si="37"/>
        <v>2039</v>
      </c>
      <c r="AL80" s="7">
        <f t="shared" si="37"/>
        <v>2040</v>
      </c>
      <c r="AM80" s="7">
        <f t="shared" si="37"/>
        <v>2045</v>
      </c>
      <c r="AN80" s="7">
        <f t="shared" si="37"/>
        <v>2050</v>
      </c>
      <c r="AO80" s="7">
        <f t="shared" si="37"/>
        <v>2060</v>
      </c>
      <c r="AP80" s="7">
        <f t="shared" si="37"/>
        <v>2070</v>
      </c>
    </row>
    <row r="81" spans="1:54">
      <c r="A81" s="315" t="s">
        <v>16</v>
      </c>
      <c r="B81" s="228"/>
      <c r="C81" s="315" t="s">
        <v>554</v>
      </c>
      <c r="D81" s="186" t="str">
        <f>D102</f>
        <v>RLEH</v>
      </c>
      <c r="J81" s="42">
        <f t="shared" ref="J81:O81" si="38">J102</f>
        <v>14.676645094763478</v>
      </c>
      <c r="K81" s="42">
        <f t="shared" si="38"/>
        <v>14.08428987326449</v>
      </c>
      <c r="L81" s="42">
        <f t="shared" si="38"/>
        <v>13.491934651765501</v>
      </c>
      <c r="M81" s="42">
        <f t="shared" si="38"/>
        <v>12.899579430266513</v>
      </c>
      <c r="N81" s="42">
        <f t="shared" si="38"/>
        <v>12.307224208767526</v>
      </c>
      <c r="O81" s="42">
        <f t="shared" si="38"/>
        <v>11.714868987268536</v>
      </c>
      <c r="P81" s="24">
        <f t="shared" ref="P81:AP81" ca="1" si="39">OFFSET(P$33,$BB81,$J$96)/OFFSET(O$33,$BB81,$J$96)*O81</f>
        <v>11.734602306198665</v>
      </c>
      <c r="Q81" s="24">
        <f t="shared" ca="1" si="39"/>
        <v>11.861440488774248</v>
      </c>
      <c r="R81" s="24">
        <f t="shared" ca="1" si="39"/>
        <v>12.390477491420196</v>
      </c>
      <c r="S81" s="24">
        <f t="shared" ca="1" si="39"/>
        <v>12.904262574312579</v>
      </c>
      <c r="T81" s="24">
        <f t="shared" ca="1" si="39"/>
        <v>12.881253008262815</v>
      </c>
      <c r="U81" s="24">
        <f t="shared" ca="1" si="39"/>
        <v>12.858853662498323</v>
      </c>
      <c r="V81" s="24">
        <f t="shared" ca="1" si="39"/>
        <v>12.833310429412061</v>
      </c>
      <c r="W81" s="24">
        <f t="shared" ca="1" si="39"/>
        <v>12.817968861097174</v>
      </c>
      <c r="X81" s="24">
        <f t="shared" ca="1" si="39"/>
        <v>12.733009982347479</v>
      </c>
      <c r="Y81" s="24">
        <f t="shared" ca="1" si="39"/>
        <v>12.629522334251197</v>
      </c>
      <c r="Z81" s="24">
        <f t="shared" ca="1" si="39"/>
        <v>12.523264962223124</v>
      </c>
      <c r="AA81" s="24">
        <f t="shared" ca="1" si="39"/>
        <v>12.393729732266559</v>
      </c>
      <c r="AB81" s="24">
        <f t="shared" ca="1" si="39"/>
        <v>12.272789827114627</v>
      </c>
      <c r="AC81" s="24">
        <f t="shared" ca="1" si="39"/>
        <v>12.124834288987858</v>
      </c>
      <c r="AD81" s="24">
        <f t="shared" ca="1" si="39"/>
        <v>11.981929325668105</v>
      </c>
      <c r="AE81" s="24">
        <f t="shared" ca="1" si="39"/>
        <v>11.834327782133339</v>
      </c>
      <c r="AF81" s="24">
        <f t="shared" ca="1" si="39"/>
        <v>11.666413437713505</v>
      </c>
      <c r="AG81" s="24">
        <f t="shared" ca="1" si="39"/>
        <v>11.484243691049741</v>
      </c>
      <c r="AH81" s="24">
        <f t="shared" ca="1" si="39"/>
        <v>11.288575878256765</v>
      </c>
      <c r="AI81" s="24">
        <f t="shared" ca="1" si="39"/>
        <v>11.10137006762581</v>
      </c>
      <c r="AJ81" s="24">
        <f t="shared" ca="1" si="39"/>
        <v>10.921957952979017</v>
      </c>
      <c r="AK81" s="24">
        <f t="shared" ca="1" si="39"/>
        <v>10.748147096180666</v>
      </c>
      <c r="AL81" s="24">
        <f t="shared" ca="1" si="39"/>
        <v>10.572167105249102</v>
      </c>
      <c r="AM81" s="24">
        <f t="shared" ca="1" si="39"/>
        <v>9.60337028320561</v>
      </c>
      <c r="AN81" s="24">
        <f t="shared" ca="1" si="39"/>
        <v>8.6359593097513798</v>
      </c>
      <c r="AO81" s="24">
        <f t="shared" ca="1" si="39"/>
        <v>8.6359593097513798</v>
      </c>
      <c r="AP81" s="24">
        <f t="shared" ca="1" si="39"/>
        <v>8.6359593097513798</v>
      </c>
      <c r="BB81" s="315">
        <v>1</v>
      </c>
    </row>
    <row r="82" spans="1:54">
      <c r="A82" s="315" t="s">
        <v>16</v>
      </c>
      <c r="B82" s="228"/>
      <c r="D82" s="186" t="str">
        <f>D113</f>
        <v>RMEH</v>
      </c>
      <c r="H82" s="315" t="s">
        <v>657</v>
      </c>
      <c r="J82" s="42">
        <f t="shared" ref="J82:O82" si="40">J113</f>
        <v>13.162628870539544</v>
      </c>
      <c r="K82" s="42">
        <f t="shared" si="40"/>
        <v>13.094413910887344</v>
      </c>
      <c r="L82" s="42">
        <f t="shared" si="40"/>
        <v>13.026198951235143</v>
      </c>
      <c r="M82" s="42">
        <f t="shared" si="40"/>
        <v>12.957983991582941</v>
      </c>
      <c r="N82" s="42">
        <f t="shared" si="40"/>
        <v>12.88976903193074</v>
      </c>
      <c r="O82" s="42">
        <f t="shared" si="40"/>
        <v>12.821554072278539</v>
      </c>
      <c r="P82" s="24">
        <f t="shared" ref="P82:AP82" ca="1" si="41">OFFSET(P$33,$BB82,$J$96)/OFFSET(O$33,$BB82,$J$96)*O82</f>
        <v>13.168058852120426</v>
      </c>
      <c r="Q82" s="24">
        <f t="shared" ca="1" si="41"/>
        <v>13.509052100026246</v>
      </c>
      <c r="R82" s="24">
        <f t="shared" ca="1" si="41"/>
        <v>14.231629301713678</v>
      </c>
      <c r="S82" s="24">
        <f t="shared" ca="1" si="41"/>
        <v>13.642474837415934</v>
      </c>
      <c r="T82" s="24">
        <f t="shared" ca="1" si="41"/>
        <v>13.897341836418063</v>
      </c>
      <c r="U82" s="24">
        <f t="shared" ca="1" si="41"/>
        <v>14.136523289515972</v>
      </c>
      <c r="V82" s="24">
        <f t="shared" ca="1" si="41"/>
        <v>14.398255812838032</v>
      </c>
      <c r="W82" s="24">
        <f t="shared" ca="1" si="41"/>
        <v>14.658599806417945</v>
      </c>
      <c r="X82" s="24">
        <f t="shared" ca="1" si="41"/>
        <v>14.86765512340499</v>
      </c>
      <c r="Y82" s="24">
        <f t="shared" ca="1" si="41"/>
        <v>15.117842598786636</v>
      </c>
      <c r="Z82" s="24">
        <f t="shared" ca="1" si="41"/>
        <v>15.361230517814377</v>
      </c>
      <c r="AA82" s="24">
        <f t="shared" ca="1" si="41"/>
        <v>15.595907814895273</v>
      </c>
      <c r="AB82" s="24">
        <f t="shared" ca="1" si="41"/>
        <v>15.874092146565763</v>
      </c>
      <c r="AC82" s="24">
        <f t="shared" ca="1" si="41"/>
        <v>16.089562553079762</v>
      </c>
      <c r="AD82" s="24">
        <f t="shared" ca="1" si="41"/>
        <v>16.354009223234911</v>
      </c>
      <c r="AE82" s="24">
        <f t="shared" ca="1" si="41"/>
        <v>16.589536103347768</v>
      </c>
      <c r="AF82" s="24">
        <f t="shared" ca="1" si="41"/>
        <v>16.836941153344544</v>
      </c>
      <c r="AG82" s="24">
        <f t="shared" ca="1" si="41"/>
        <v>17.087995994241048</v>
      </c>
      <c r="AH82" s="24">
        <f t="shared" ca="1" si="41"/>
        <v>17.334016216315554</v>
      </c>
      <c r="AI82" s="24">
        <f t="shared" ca="1" si="41"/>
        <v>17.570565096296246</v>
      </c>
      <c r="AJ82" s="24">
        <f t="shared" ca="1" si="41"/>
        <v>17.81413199073139</v>
      </c>
      <c r="AK82" s="24">
        <f t="shared" ca="1" si="41"/>
        <v>18.051438122326349</v>
      </c>
      <c r="AL82" s="24">
        <f t="shared" ca="1" si="41"/>
        <v>18.288003129946812</v>
      </c>
      <c r="AM82" s="24">
        <f t="shared" ca="1" si="41"/>
        <v>19.290599360347493</v>
      </c>
      <c r="AN82" s="24">
        <f t="shared" ca="1" si="41"/>
        <v>20.250906218699033</v>
      </c>
      <c r="AO82" s="24">
        <f t="shared" ca="1" si="41"/>
        <v>20.250906218699033</v>
      </c>
      <c r="AP82" s="24">
        <f t="shared" ca="1" si="41"/>
        <v>20.250906218699033</v>
      </c>
      <c r="BB82" s="315">
        <v>2</v>
      </c>
    </row>
    <row r="83" spans="1:54">
      <c r="A83" s="315" t="s">
        <v>16</v>
      </c>
      <c r="B83" s="228"/>
      <c r="D83" s="186" t="str">
        <f>D123</f>
        <v>RHEH</v>
      </c>
      <c r="H83" s="315" t="s">
        <v>656</v>
      </c>
      <c r="J83" s="42">
        <f t="shared" ref="J83:O83" si="42">J123</f>
        <v>7.0842557645058601</v>
      </c>
      <c r="K83" s="42">
        <f t="shared" si="42"/>
        <v>7.2302855472935121</v>
      </c>
      <c r="L83" s="42">
        <f t="shared" si="42"/>
        <v>7.3763153300811641</v>
      </c>
      <c r="M83" s="42">
        <f t="shared" si="42"/>
        <v>7.5223451128688161</v>
      </c>
      <c r="N83" s="42">
        <f t="shared" si="42"/>
        <v>7.6683748956564681</v>
      </c>
      <c r="O83" s="42">
        <f t="shared" si="42"/>
        <v>7.8144046784441201</v>
      </c>
      <c r="P83" s="24">
        <f t="shared" ref="P83:AP83" ca="1" si="43">OFFSET(P$33,$BB83,$J$96)/OFFSET(O$33,$BB83,$J$96)*O83</f>
        <v>8.0627093316283442</v>
      </c>
      <c r="Q83" s="24">
        <f t="shared" ca="1" si="43"/>
        <v>8.1745673087130459</v>
      </c>
      <c r="R83" s="24">
        <f t="shared" ca="1" si="43"/>
        <v>7.4135892623673918</v>
      </c>
      <c r="S83" s="24">
        <f t="shared" ca="1" si="43"/>
        <v>7.606470261508071</v>
      </c>
      <c r="T83" s="24">
        <f t="shared" ca="1" si="43"/>
        <v>7.8531146877499332</v>
      </c>
      <c r="U83" s="24">
        <f t="shared" ca="1" si="43"/>
        <v>8.1168978264462552</v>
      </c>
      <c r="V83" s="24">
        <f t="shared" ca="1" si="43"/>
        <v>8.3712575044782476</v>
      </c>
      <c r="W83" s="24">
        <f t="shared" ca="1" si="43"/>
        <v>8.6174998483196585</v>
      </c>
      <c r="X83" s="24">
        <f t="shared" ca="1" si="43"/>
        <v>8.94447997921589</v>
      </c>
      <c r="Y83" s="24">
        <f t="shared" ca="1" si="43"/>
        <v>9.2669063542493451</v>
      </c>
      <c r="Z83" s="24">
        <f t="shared" ca="1" si="43"/>
        <v>9.6026860149284694</v>
      </c>
      <c r="AA83" s="24">
        <f t="shared" ca="1" si="43"/>
        <v>9.9822054590376741</v>
      </c>
      <c r="AB83" s="24">
        <f t="shared" ca="1" si="43"/>
        <v>10.317270981989159</v>
      </c>
      <c r="AC83" s="24">
        <f t="shared" ca="1" si="43"/>
        <v>10.692935721541447</v>
      </c>
      <c r="AD83" s="24">
        <f t="shared" ca="1" si="43"/>
        <v>11.023650021864391</v>
      </c>
      <c r="AE83" s="24">
        <f t="shared" ca="1" si="43"/>
        <v>11.388057849469151</v>
      </c>
      <c r="AF83" s="24">
        <f t="shared" ca="1" si="43"/>
        <v>11.774062802345563</v>
      </c>
      <c r="AG83" s="24">
        <f t="shared" ca="1" si="43"/>
        <v>12.180058258759367</v>
      </c>
      <c r="AH83" s="24">
        <f t="shared" ca="1" si="43"/>
        <v>12.560654410938998</v>
      </c>
      <c r="AI83" s="24">
        <f t="shared" ca="1" si="43"/>
        <v>12.939562595601384</v>
      </c>
      <c r="AJ83" s="24">
        <f t="shared" ca="1" si="43"/>
        <v>13.303987348911905</v>
      </c>
      <c r="AK83" s="24">
        <f t="shared" ca="1" si="43"/>
        <v>13.668091785531521</v>
      </c>
      <c r="AL83" s="24">
        <f t="shared" ca="1" si="43"/>
        <v>14.038185728608505</v>
      </c>
      <c r="AM83" s="24">
        <f t="shared" ca="1" si="43"/>
        <v>15.947573558305312</v>
      </c>
      <c r="AN83" s="24">
        <f t="shared" ca="1" si="43"/>
        <v>17.676523065961195</v>
      </c>
      <c r="AO83" s="24">
        <f t="shared" ca="1" si="43"/>
        <v>17.676523065961195</v>
      </c>
      <c r="AP83" s="24">
        <f t="shared" ca="1" si="43"/>
        <v>17.676523065961195</v>
      </c>
      <c r="BB83" s="315">
        <v>3</v>
      </c>
    </row>
    <row r="84" spans="1:54">
      <c r="A84" s="315" t="s">
        <v>16</v>
      </c>
      <c r="B84" s="228"/>
      <c r="D84" s="186" t="s">
        <v>377</v>
      </c>
      <c r="J84" s="42">
        <f t="shared" ref="J84:O84" si="44">J117</f>
        <v>5.8181446629629967</v>
      </c>
      <c r="K84" s="42">
        <f t="shared" si="44"/>
        <v>6.4084282360981142</v>
      </c>
      <c r="L84" s="42">
        <f t="shared" si="44"/>
        <v>6.9987118092332326</v>
      </c>
      <c r="M84" s="42">
        <f t="shared" si="44"/>
        <v>7.58899538236835</v>
      </c>
      <c r="N84" s="42">
        <f t="shared" si="44"/>
        <v>8.1792789555034684</v>
      </c>
      <c r="O84" s="42">
        <f t="shared" si="44"/>
        <v>8.7695625286385859</v>
      </c>
      <c r="P84" s="24">
        <f t="shared" ref="P84:AP84" ca="1" si="45">OFFSET(P$33,$BB117,$J$96)/OFFSET(O$33,$BB117,$J$96)*O84</f>
        <v>9.006561516137733</v>
      </c>
      <c r="Q84" s="24">
        <f t="shared" ca="1" si="45"/>
        <v>9.2397907793375111</v>
      </c>
      <c r="R84" s="24">
        <f t="shared" ca="1" si="45"/>
        <v>9.7340121440991485</v>
      </c>
      <c r="S84" s="24">
        <f t="shared" ca="1" si="45"/>
        <v>9.331047972629765</v>
      </c>
      <c r="T84" s="24">
        <f t="shared" ca="1" si="45"/>
        <v>9.5053694372225852</v>
      </c>
      <c r="U84" s="24">
        <f t="shared" ca="1" si="45"/>
        <v>9.6689624538575814</v>
      </c>
      <c r="V84" s="24">
        <f t="shared" ca="1" si="45"/>
        <v>9.8479797333630188</v>
      </c>
      <c r="W84" s="24">
        <f t="shared" ca="1" si="45"/>
        <v>10.026047299726976</v>
      </c>
      <c r="X84" s="24">
        <f t="shared" ca="1" si="45"/>
        <v>10.169034933201617</v>
      </c>
      <c r="Y84" s="24">
        <f t="shared" ca="1" si="45"/>
        <v>10.340155742494563</v>
      </c>
      <c r="Z84" s="24">
        <f t="shared" ca="1" si="45"/>
        <v>10.506625857006172</v>
      </c>
      <c r="AA84" s="24">
        <f t="shared" ca="1" si="45"/>
        <v>10.667138164578345</v>
      </c>
      <c r="AB84" s="24">
        <f t="shared" ca="1" si="45"/>
        <v>10.857407992815974</v>
      </c>
      <c r="AC84" s="24">
        <f t="shared" ca="1" si="45"/>
        <v>11.004783357170686</v>
      </c>
      <c r="AD84" s="24">
        <f t="shared" ca="1" si="45"/>
        <v>11.185657032572479</v>
      </c>
      <c r="AE84" s="24">
        <f t="shared" ca="1" si="45"/>
        <v>11.346750429728647</v>
      </c>
      <c r="AF84" s="24">
        <f t="shared" ca="1" si="45"/>
        <v>11.515968142621864</v>
      </c>
      <c r="AG84" s="24">
        <f t="shared" ca="1" si="45"/>
        <v>11.687682204189446</v>
      </c>
      <c r="AH84" s="24">
        <f t="shared" ca="1" si="45"/>
        <v>11.855952735876134</v>
      </c>
      <c r="AI84" s="24">
        <f t="shared" ca="1" si="45"/>
        <v>12.017745150615873</v>
      </c>
      <c r="AJ84" s="24">
        <f t="shared" ca="1" si="45"/>
        <v>12.184337678995369</v>
      </c>
      <c r="AK84" s="24">
        <f t="shared" ca="1" si="45"/>
        <v>12.346648031369176</v>
      </c>
      <c r="AL84" s="24">
        <f t="shared" ca="1" si="45"/>
        <v>12.508451476935962</v>
      </c>
      <c r="AM84" s="24">
        <f t="shared" ca="1" si="45"/>
        <v>13.194197548271104</v>
      </c>
      <c r="AN84" s="24">
        <f t="shared" ca="1" si="45"/>
        <v>13.851018943986492</v>
      </c>
      <c r="AO84" s="24">
        <f t="shared" ca="1" si="45"/>
        <v>13.851018943986492</v>
      </c>
      <c r="AP84" s="24">
        <f t="shared" ca="1" si="45"/>
        <v>13.851018943986492</v>
      </c>
      <c r="BB84" s="315">
        <v>4</v>
      </c>
    </row>
    <row r="85" spans="1:54">
      <c r="A85" s="315" t="s">
        <v>16</v>
      </c>
      <c r="B85" s="228"/>
      <c r="D85" s="186" t="s">
        <v>365</v>
      </c>
      <c r="J85" s="42">
        <f t="shared" ref="J85:O85" si="46">J127</f>
        <v>11.690334156193106</v>
      </c>
      <c r="K85" s="42">
        <f t="shared" si="46"/>
        <v>12.00003056398719</v>
      </c>
      <c r="L85" s="42">
        <f t="shared" si="46"/>
        <v>12.309726971781274</v>
      </c>
      <c r="M85" s="42">
        <f t="shared" si="46"/>
        <v>12.619423379575359</v>
      </c>
      <c r="N85" s="42">
        <f t="shared" si="46"/>
        <v>12.929119787369443</v>
      </c>
      <c r="O85" s="42">
        <f t="shared" si="46"/>
        <v>13.238816195163526</v>
      </c>
      <c r="P85" s="24">
        <f t="shared" ref="P85:AP85" ca="1" si="47">OFFSET(P$33,$BB127,$J$96)/OFFSET(O$33,$BB127,$J$96)*O85</f>
        <v>13.65948287409527</v>
      </c>
      <c r="Q85" s="24">
        <f t="shared" ca="1" si="47"/>
        <v>13.848987674463762</v>
      </c>
      <c r="R85" s="24">
        <f t="shared" ca="1" si="47"/>
        <v>12.559772577642002</v>
      </c>
      <c r="S85" s="24">
        <f t="shared" ca="1" si="47"/>
        <v>12.886542971579594</v>
      </c>
      <c r="T85" s="24">
        <f t="shared" ca="1" si="47"/>
        <v>13.304396968005552</v>
      </c>
      <c r="U85" s="24">
        <f t="shared" ca="1" si="47"/>
        <v>13.751286607368232</v>
      </c>
      <c r="V85" s="24">
        <f t="shared" ca="1" si="47"/>
        <v>14.182211439584242</v>
      </c>
      <c r="W85" s="24">
        <f t="shared" ca="1" si="47"/>
        <v>14.599384245924208</v>
      </c>
      <c r="X85" s="24">
        <f t="shared" ca="1" si="47"/>
        <v>15.153339413404428</v>
      </c>
      <c r="Y85" s="24">
        <f t="shared" ca="1" si="47"/>
        <v>15.699579810617983</v>
      </c>
      <c r="Z85" s="24">
        <f t="shared" ca="1" si="47"/>
        <v>16.268442749347997</v>
      </c>
      <c r="AA85" s="24">
        <f t="shared" ca="1" si="47"/>
        <v>16.911407680113879</v>
      </c>
      <c r="AB85" s="24">
        <f t="shared" ca="1" si="47"/>
        <v>17.479060758527812</v>
      </c>
      <c r="AC85" s="24">
        <f t="shared" ca="1" si="47"/>
        <v>18.115495220599584</v>
      </c>
      <c r="AD85" s="24">
        <f t="shared" ca="1" si="47"/>
        <v>18.675776651527382</v>
      </c>
      <c r="AE85" s="24">
        <f t="shared" ca="1" si="47"/>
        <v>19.293140154987352</v>
      </c>
      <c r="AF85" s="24">
        <f t="shared" ca="1" si="47"/>
        <v>19.947092545711381</v>
      </c>
      <c r="AG85" s="24">
        <f t="shared" ca="1" si="47"/>
        <v>20.634911956748592</v>
      </c>
      <c r="AH85" s="24">
        <f t="shared" ca="1" si="47"/>
        <v>21.279700998349114</v>
      </c>
      <c r="AI85" s="24">
        <f t="shared" ca="1" si="47"/>
        <v>21.921630360598005</v>
      </c>
      <c r="AJ85" s="24">
        <f t="shared" ca="1" si="47"/>
        <v>22.539022538834466</v>
      </c>
      <c r="AK85" s="24">
        <f t="shared" ca="1" si="47"/>
        <v>23.155872050806554</v>
      </c>
      <c r="AL85" s="24">
        <f t="shared" ca="1" si="47"/>
        <v>23.7828687177254</v>
      </c>
      <c r="AM85" s="24">
        <f t="shared" ca="1" si="47"/>
        <v>27.017668496186726</v>
      </c>
      <c r="AN85" s="24">
        <f t="shared" ca="1" si="47"/>
        <v>29.946777709805293</v>
      </c>
      <c r="AO85" s="24">
        <f t="shared" ca="1" si="47"/>
        <v>29.946777709805293</v>
      </c>
      <c r="AP85" s="24">
        <f t="shared" ca="1" si="47"/>
        <v>29.946777709805293</v>
      </c>
      <c r="BB85" s="315">
        <v>5</v>
      </c>
    </row>
    <row r="86" spans="1:54">
      <c r="A86" s="315" t="s">
        <v>16</v>
      </c>
      <c r="B86" s="228"/>
      <c r="D86" s="186"/>
      <c r="J86" s="186"/>
      <c r="K86" s="186"/>
      <c r="L86" s="186"/>
      <c r="M86" s="186"/>
      <c r="N86" s="186"/>
      <c r="O86" s="186"/>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row>
    <row r="87" spans="1:54">
      <c r="A87" s="315" t="s">
        <v>16</v>
      </c>
      <c r="B87" s="228"/>
      <c r="D87" s="186"/>
      <c r="J87" s="186"/>
      <c r="K87" s="186"/>
      <c r="L87" s="186"/>
      <c r="M87" s="186"/>
      <c r="N87" s="186"/>
      <c r="O87" s="186"/>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c r="AO87" s="24"/>
      <c r="AP87" s="24"/>
    </row>
    <row r="88" spans="1:54">
      <c r="A88" s="315" t="s">
        <v>16</v>
      </c>
      <c r="B88" s="228"/>
      <c r="J88" s="315"/>
    </row>
    <row r="89" spans="1:54">
      <c r="A89" s="315" t="s">
        <v>16</v>
      </c>
      <c r="B89" s="228"/>
      <c r="C89" s="315" t="s">
        <v>555</v>
      </c>
      <c r="D89" s="186" t="str">
        <f>D81</f>
        <v>RLEH</v>
      </c>
      <c r="J89" s="42">
        <f t="shared" ref="J89:O93" si="48">J81</f>
        <v>14.676645094763478</v>
      </c>
      <c r="K89" s="42">
        <f t="shared" si="48"/>
        <v>14.08428987326449</v>
      </c>
      <c r="L89" s="42">
        <f t="shared" si="48"/>
        <v>13.491934651765501</v>
      </c>
      <c r="M89" s="42">
        <f t="shared" si="48"/>
        <v>12.899579430266513</v>
      </c>
      <c r="N89" s="42">
        <f t="shared" si="48"/>
        <v>12.307224208767526</v>
      </c>
      <c r="O89" s="42">
        <f t="shared" si="48"/>
        <v>11.714868987268536</v>
      </c>
      <c r="P89" s="186">
        <f t="shared" ref="P89:AP89" ca="1" si="49">(($M$81*(1-P$75))+((P81-$M$81)*(1-P$76)))</f>
        <v>11.265218213950719</v>
      </c>
      <c r="Q89" s="186">
        <f t="shared" ca="1" si="49"/>
        <v>11.228830329372954</v>
      </c>
      <c r="R89" s="186">
        <f t="shared" ca="1" si="49"/>
        <v>11.564445658658851</v>
      </c>
      <c r="S89" s="186">
        <f t="shared" ca="1" si="49"/>
        <v>11.871921568367572</v>
      </c>
      <c r="T89" s="186">
        <f t="shared" ca="1" si="49"/>
        <v>11.679002727491619</v>
      </c>
      <c r="U89" s="186">
        <f t="shared" ca="1" si="49"/>
        <v>11.487242605165168</v>
      </c>
      <c r="V89" s="186">
        <f t="shared" ca="1" si="49"/>
        <v>11.293313177882613</v>
      </c>
      <c r="W89" s="186">
        <f t="shared" ca="1" si="49"/>
        <v>11.108906346284218</v>
      </c>
      <c r="X89" s="186">
        <f t="shared" ca="1" si="49"/>
        <v>10.865501851603181</v>
      </c>
      <c r="Y89" s="186">
        <f t="shared" ca="1" si="49"/>
        <v>10.608798760771005</v>
      </c>
      <c r="Z89" s="186">
        <f t="shared" ca="1" si="49"/>
        <v>10.352565702104449</v>
      </c>
      <c r="AA89" s="186">
        <f t="shared" ca="1" si="49"/>
        <v>10.080233515576802</v>
      </c>
      <c r="AB89" s="186">
        <f t="shared" ca="1" si="49"/>
        <v>9.8182318616917019</v>
      </c>
      <c r="AC89" s="186">
        <f t="shared" ca="1" si="49"/>
        <v>9.6998674311902864</v>
      </c>
      <c r="AD89" s="186">
        <f t="shared" ca="1" si="49"/>
        <v>9.5855434605344847</v>
      </c>
      <c r="AE89" s="186">
        <f t="shared" ca="1" si="49"/>
        <v>9.4674622257066723</v>
      </c>
      <c r="AF89" s="186">
        <f t="shared" ca="1" si="49"/>
        <v>9.3331307501708043</v>
      </c>
      <c r="AG89" s="186">
        <f t="shared" ca="1" si="49"/>
        <v>9.187394952839794</v>
      </c>
      <c r="AH89" s="186">
        <f t="shared" ca="1" si="49"/>
        <v>9.0308607026054126</v>
      </c>
      <c r="AI89" s="186">
        <f t="shared" ca="1" si="49"/>
        <v>8.8810960541006487</v>
      </c>
      <c r="AJ89" s="186">
        <f t="shared" ca="1" si="49"/>
        <v>8.7375663623832143</v>
      </c>
      <c r="AK89" s="186">
        <f t="shared" ca="1" si="49"/>
        <v>8.5985176769445335</v>
      </c>
      <c r="AL89" s="186">
        <f t="shared" ca="1" si="49"/>
        <v>8.4577336841992832</v>
      </c>
      <c r="AM89" s="186">
        <f t="shared" ca="1" si="49"/>
        <v>7.6826962265644889</v>
      </c>
      <c r="AN89" s="186">
        <f t="shared" ca="1" si="49"/>
        <v>6.9087674478011047</v>
      </c>
      <c r="AO89" s="186">
        <f t="shared" ca="1" si="49"/>
        <v>6.9087674478011047</v>
      </c>
      <c r="AP89" s="186">
        <f t="shared" ca="1" si="49"/>
        <v>6.9087674478011047</v>
      </c>
    </row>
    <row r="90" spans="1:54">
      <c r="A90" s="315" t="s">
        <v>16</v>
      </c>
      <c r="B90" s="228"/>
      <c r="D90" s="186" t="str">
        <f>D82</f>
        <v>RMEH</v>
      </c>
      <c r="J90" s="42">
        <f t="shared" si="48"/>
        <v>13.162628870539544</v>
      </c>
      <c r="K90" s="42">
        <f t="shared" si="48"/>
        <v>13.094413910887344</v>
      </c>
      <c r="L90" s="42">
        <f t="shared" si="48"/>
        <v>13.026198951235143</v>
      </c>
      <c r="M90" s="42">
        <f t="shared" si="48"/>
        <v>12.957983991582941</v>
      </c>
      <c r="N90" s="42">
        <f t="shared" si="48"/>
        <v>12.88976903193074</v>
      </c>
      <c r="O90" s="42">
        <f t="shared" si="48"/>
        <v>12.821554072278539</v>
      </c>
      <c r="P90" s="186">
        <f t="shared" ref="P90:AP90" ca="1" si="50">(($M$82*(1-P$75))+((P82-$M$82)*(1-P$76)))</f>
        <v>12.641336498035608</v>
      </c>
      <c r="Q90" s="186">
        <f t="shared" ca="1" si="50"/>
        <v>12.78856932135818</v>
      </c>
      <c r="R90" s="186">
        <f t="shared" ca="1" si="50"/>
        <v>13.282854014932767</v>
      </c>
      <c r="S90" s="186">
        <f t="shared" ca="1" si="50"/>
        <v>12.551076850422659</v>
      </c>
      <c r="T90" s="186">
        <f t="shared" ca="1" si="50"/>
        <v>12.600256598352377</v>
      </c>
      <c r="U90" s="186">
        <f t="shared" ca="1" si="50"/>
        <v>12.628627471967601</v>
      </c>
      <c r="V90" s="186">
        <f t="shared" ca="1" si="50"/>
        <v>12.670465115297468</v>
      </c>
      <c r="W90" s="186">
        <f t="shared" ca="1" si="50"/>
        <v>12.704119832228885</v>
      </c>
      <c r="X90" s="186">
        <f t="shared" ca="1" si="50"/>
        <v>12.68706570530559</v>
      </c>
      <c r="Y90" s="186">
        <f t="shared" ca="1" si="50"/>
        <v>12.698987782980772</v>
      </c>
      <c r="Z90" s="186">
        <f t="shared" ca="1" si="50"/>
        <v>12.698617228059884</v>
      </c>
      <c r="AA90" s="186">
        <f t="shared" ca="1" si="50"/>
        <v>12.684671689448155</v>
      </c>
      <c r="AB90" s="186">
        <f t="shared" ca="1" si="50"/>
        <v>12.699273717252613</v>
      </c>
      <c r="AC90" s="186">
        <f t="shared" ca="1" si="50"/>
        <v>12.871650042463811</v>
      </c>
      <c r="AD90" s="186">
        <f t="shared" ca="1" si="50"/>
        <v>13.083207378587931</v>
      </c>
      <c r="AE90" s="186">
        <f t="shared" ca="1" si="50"/>
        <v>13.271628882678216</v>
      </c>
      <c r="AF90" s="186">
        <f t="shared" ca="1" si="50"/>
        <v>13.469552922675636</v>
      </c>
      <c r="AG90" s="186">
        <f t="shared" ca="1" si="50"/>
        <v>13.67039679539284</v>
      </c>
      <c r="AH90" s="186">
        <f t="shared" ca="1" si="50"/>
        <v>13.867212973052444</v>
      </c>
      <c r="AI90" s="186">
        <f t="shared" ca="1" si="50"/>
        <v>14.056452077036997</v>
      </c>
      <c r="AJ90" s="186">
        <f t="shared" ca="1" si="50"/>
        <v>14.251305592585114</v>
      </c>
      <c r="AK90" s="186">
        <f t="shared" ca="1" si="50"/>
        <v>14.441150497861081</v>
      </c>
      <c r="AL90" s="186">
        <f t="shared" ca="1" si="50"/>
        <v>14.630402503957452</v>
      </c>
      <c r="AM90" s="186">
        <f t="shared" ca="1" si="50"/>
        <v>15.432479488277995</v>
      </c>
      <c r="AN90" s="186">
        <f t="shared" ca="1" si="50"/>
        <v>16.200724974959229</v>
      </c>
      <c r="AO90" s="186">
        <f t="shared" ca="1" si="50"/>
        <v>16.200724974959229</v>
      </c>
      <c r="AP90" s="186">
        <f t="shared" ca="1" si="50"/>
        <v>16.200724974959229</v>
      </c>
    </row>
    <row r="91" spans="1:54">
      <c r="A91" s="315" t="s">
        <v>16</v>
      </c>
      <c r="B91" s="228"/>
      <c r="D91" s="186" t="str">
        <f>D83</f>
        <v>RHEH</v>
      </c>
      <c r="J91" s="42">
        <f t="shared" si="48"/>
        <v>7.0842557645058601</v>
      </c>
      <c r="K91" s="42">
        <f t="shared" si="48"/>
        <v>7.2302855472935121</v>
      </c>
      <c r="L91" s="42">
        <f t="shared" si="48"/>
        <v>7.3763153300811641</v>
      </c>
      <c r="M91" s="42">
        <f t="shared" si="48"/>
        <v>7.5223451128688161</v>
      </c>
      <c r="N91" s="42">
        <f t="shared" si="48"/>
        <v>7.6683748956564681</v>
      </c>
      <c r="O91" s="42">
        <f t="shared" si="48"/>
        <v>7.8144046784441201</v>
      </c>
      <c r="P91" s="186">
        <f t="shared" ref="P91:AP91" ca="1" si="51">(($M$83*(1-P$75))+((P83-$M$83)*(1-P$76)))</f>
        <v>7.7402009583632099</v>
      </c>
      <c r="Q91" s="186">
        <f t="shared" ca="1" si="51"/>
        <v>7.7385903855816833</v>
      </c>
      <c r="R91" s="186">
        <f t="shared" ca="1" si="51"/>
        <v>6.9193499782095662</v>
      </c>
      <c r="S91" s="186">
        <f t="shared" ca="1" si="51"/>
        <v>6.9979526405874255</v>
      </c>
      <c r="T91" s="186">
        <f t="shared" ca="1" si="51"/>
        <v>7.1201573168932724</v>
      </c>
      <c r="U91" s="186">
        <f t="shared" ca="1" si="51"/>
        <v>7.2510953916253209</v>
      </c>
      <c r="V91" s="186">
        <f t="shared" ca="1" si="51"/>
        <v>7.366706603940858</v>
      </c>
      <c r="W91" s="186">
        <f t="shared" ca="1" si="51"/>
        <v>7.4684998685437041</v>
      </c>
      <c r="X91" s="186">
        <f t="shared" ca="1" si="51"/>
        <v>7.6326229155975591</v>
      </c>
      <c r="Y91" s="186">
        <f t="shared" ca="1" si="51"/>
        <v>7.7842013375694492</v>
      </c>
      <c r="Z91" s="186">
        <f t="shared" ca="1" si="51"/>
        <v>7.9382204390075346</v>
      </c>
      <c r="AA91" s="186">
        <f t="shared" ca="1" si="51"/>
        <v>8.1188604400173077</v>
      </c>
      <c r="AB91" s="186">
        <f t="shared" ca="1" si="51"/>
        <v>8.2538167855913276</v>
      </c>
      <c r="AC91" s="186">
        <f t="shared" ca="1" si="51"/>
        <v>8.5543485772331582</v>
      </c>
      <c r="AD91" s="186">
        <f t="shared" ca="1" si="51"/>
        <v>8.8189200174915143</v>
      </c>
      <c r="AE91" s="186">
        <f t="shared" ca="1" si="51"/>
        <v>9.1104462795753207</v>
      </c>
      <c r="AF91" s="186">
        <f t="shared" ca="1" si="51"/>
        <v>9.4192502418764512</v>
      </c>
      <c r="AG91" s="186">
        <f t="shared" ca="1" si="51"/>
        <v>9.744046607007494</v>
      </c>
      <c r="AH91" s="186">
        <f t="shared" ca="1" si="51"/>
        <v>10.048523528751199</v>
      </c>
      <c r="AI91" s="186">
        <f t="shared" ca="1" si="51"/>
        <v>10.351650076481107</v>
      </c>
      <c r="AJ91" s="186">
        <f t="shared" ca="1" si="51"/>
        <v>10.643189879129524</v>
      </c>
      <c r="AK91" s="186">
        <f t="shared" ca="1" si="51"/>
        <v>10.934473428425218</v>
      </c>
      <c r="AL91" s="186">
        <f t="shared" ca="1" si="51"/>
        <v>11.230548582886804</v>
      </c>
      <c r="AM91" s="186">
        <f t="shared" ca="1" si="51"/>
        <v>12.75805884664425</v>
      </c>
      <c r="AN91" s="186">
        <f t="shared" ca="1" si="51"/>
        <v>14.141218452768957</v>
      </c>
      <c r="AO91" s="186">
        <f t="shared" ca="1" si="51"/>
        <v>14.141218452768957</v>
      </c>
      <c r="AP91" s="186">
        <f t="shared" ca="1" si="51"/>
        <v>14.141218452768957</v>
      </c>
    </row>
    <row r="92" spans="1:54">
      <c r="A92" s="315" t="s">
        <v>16</v>
      </c>
      <c r="B92" s="228"/>
      <c r="D92" s="186" t="str">
        <f>D84</f>
        <v>RMEO</v>
      </c>
      <c r="I92" s="315">
        <v>0.1</v>
      </c>
      <c r="J92" s="42">
        <f t="shared" si="48"/>
        <v>5.8181446629629967</v>
      </c>
      <c r="K92" s="42">
        <f t="shared" si="48"/>
        <v>6.4084282360981142</v>
      </c>
      <c r="L92" s="42">
        <f t="shared" si="48"/>
        <v>6.9987118092332326</v>
      </c>
      <c r="M92" s="42">
        <f t="shared" si="48"/>
        <v>7.58899538236835</v>
      </c>
      <c r="N92" s="42">
        <f t="shared" si="48"/>
        <v>8.1792789555034684</v>
      </c>
      <c r="O92" s="42">
        <f t="shared" si="48"/>
        <v>8.7695625286385859</v>
      </c>
      <c r="P92" s="186">
        <f ca="1">OFFSET(P$33,$BB117,$J$96)/OFFSET(O$33,$BB117,$J$96)*O117</f>
        <v>9.006561516137733</v>
      </c>
      <c r="Q92" s="186">
        <f t="shared" ref="Q92:AP92" ca="1" si="52">(($M$84*(1-Q$75*$I$92))+((Q84-$M$84)*(1-Q$76*$I$92)))</f>
        <v>9.1905118951810447</v>
      </c>
      <c r="R92" s="186">
        <f t="shared" ca="1" si="52"/>
        <v>9.6691187298051542</v>
      </c>
      <c r="S92" s="186">
        <f t="shared" ca="1" si="52"/>
        <v>9.2563995888487263</v>
      </c>
      <c r="T92" s="186">
        <f t="shared" ca="1" si="52"/>
        <v>9.4166526558085089</v>
      </c>
      <c r="U92" s="186">
        <f t="shared" ca="1" si="52"/>
        <v>9.5658268543497673</v>
      </c>
      <c r="V92" s="186">
        <f t="shared" ca="1" si="52"/>
        <v>9.7298039765626623</v>
      </c>
      <c r="W92" s="186">
        <f t="shared" ca="1" si="52"/>
        <v>9.89236666906395</v>
      </c>
      <c r="X92" s="186">
        <f t="shared" ca="1" si="52"/>
        <v>10.01988908751466</v>
      </c>
      <c r="Y92" s="186">
        <f t="shared" ca="1" si="52"/>
        <v>10.17471325061465</v>
      </c>
      <c r="Z92" s="186">
        <f t="shared" ca="1" si="52"/>
        <v>10.324511008818066</v>
      </c>
      <c r="AA92" s="186">
        <f t="shared" ca="1" si="52"/>
        <v>10.468018252172882</v>
      </c>
      <c r="AB92" s="186">
        <f t="shared" ca="1" si="52"/>
        <v>10.640259832959654</v>
      </c>
      <c r="AC92" s="186">
        <f t="shared" ca="1" si="52"/>
        <v>10.784687690027273</v>
      </c>
      <c r="AD92" s="186">
        <f t="shared" ca="1" si="52"/>
        <v>10.961943891921029</v>
      </c>
      <c r="AE92" s="186">
        <f t="shared" ca="1" si="52"/>
        <v>11.119815421134074</v>
      </c>
      <c r="AF92" s="186">
        <f t="shared" ca="1" si="52"/>
        <v>11.285648779769426</v>
      </c>
      <c r="AG92" s="186">
        <f t="shared" ca="1" si="52"/>
        <v>11.453928560105657</v>
      </c>
      <c r="AH92" s="186">
        <f t="shared" ca="1" si="52"/>
        <v>11.618833681158611</v>
      </c>
      <c r="AI92" s="186">
        <f t="shared" ca="1" si="52"/>
        <v>11.777390247603556</v>
      </c>
      <c r="AJ92" s="186">
        <f t="shared" ca="1" si="52"/>
        <v>11.940650925415461</v>
      </c>
      <c r="AK92" s="186">
        <f t="shared" ca="1" si="52"/>
        <v>12.099715070741791</v>
      </c>
      <c r="AL92" s="186">
        <f t="shared" ca="1" si="52"/>
        <v>12.258282447397242</v>
      </c>
      <c r="AM92" s="186">
        <f t="shared" ca="1" si="52"/>
        <v>12.93031359730568</v>
      </c>
      <c r="AN92" s="186">
        <f t="shared" ca="1" si="52"/>
        <v>13.573998565106763</v>
      </c>
      <c r="AO92" s="186">
        <f t="shared" ca="1" si="52"/>
        <v>13.573998565106763</v>
      </c>
      <c r="AP92" s="186">
        <f t="shared" ca="1" si="52"/>
        <v>13.573998565106763</v>
      </c>
    </row>
    <row r="93" spans="1:54">
      <c r="A93" s="315" t="s">
        <v>16</v>
      </c>
      <c r="B93" s="228"/>
      <c r="D93" s="186" t="str">
        <f>D85</f>
        <v>RHEO</v>
      </c>
      <c r="I93" s="315">
        <v>0.1</v>
      </c>
      <c r="J93" s="42">
        <f t="shared" si="48"/>
        <v>11.690334156193106</v>
      </c>
      <c r="K93" s="42">
        <f t="shared" si="48"/>
        <v>12.00003056398719</v>
      </c>
      <c r="L93" s="42">
        <f t="shared" si="48"/>
        <v>12.309726971781274</v>
      </c>
      <c r="M93" s="42">
        <f t="shared" si="48"/>
        <v>12.619423379575359</v>
      </c>
      <c r="N93" s="42">
        <f t="shared" si="48"/>
        <v>12.929119787369443</v>
      </c>
      <c r="O93" s="42">
        <f t="shared" si="48"/>
        <v>13.238816195163526</v>
      </c>
      <c r="P93" s="186">
        <f ca="1">(($M$85*(1-P$75))+((P85-$M$85)*(1-P$76)))</f>
        <v>13.113103559131458</v>
      </c>
      <c r="Q93" s="186">
        <f t="shared" ref="Q93:AP93" ca="1" si="53">(($M$85*(1-Q$75*$I$93))+((Q85-$M$85)*(1-Q$76*$I$93)))</f>
        <v>13.775126406866622</v>
      </c>
      <c r="R93" s="186">
        <f t="shared" ca="1" si="53"/>
        <v>12.476040760457723</v>
      </c>
      <c r="S93" s="186">
        <f t="shared" ca="1" si="53"/>
        <v>12.783450627806957</v>
      </c>
      <c r="T93" s="186">
        <f t="shared" ca="1" si="53"/>
        <v>13.180222596304167</v>
      </c>
      <c r="U93" s="186">
        <f t="shared" ca="1" si="53"/>
        <v>13.604606216889639</v>
      </c>
      <c r="V93" s="186">
        <f t="shared" ca="1" si="53"/>
        <v>14.01202490230923</v>
      </c>
      <c r="W93" s="186">
        <f t="shared" ca="1" si="53"/>
        <v>14.404725789311886</v>
      </c>
      <c r="X93" s="186">
        <f t="shared" ca="1" si="53"/>
        <v>14.931090435341162</v>
      </c>
      <c r="Y93" s="186">
        <f t="shared" ca="1" si="53"/>
        <v>15.448386533648096</v>
      </c>
      <c r="Z93" s="186">
        <f t="shared" ca="1" si="53"/>
        <v>15.986456408359299</v>
      </c>
      <c r="AA93" s="186">
        <f t="shared" ca="1" si="53"/>
        <v>16.595728070085084</v>
      </c>
      <c r="AB93" s="186">
        <f t="shared" ca="1" si="53"/>
        <v>17.129479543357256</v>
      </c>
      <c r="AC93" s="186">
        <f t="shared" ca="1" si="53"/>
        <v>17.753185316187594</v>
      </c>
      <c r="AD93" s="186">
        <f t="shared" ca="1" si="53"/>
        <v>18.302261118496837</v>
      </c>
      <c r="AE93" s="186">
        <f t="shared" ca="1" si="53"/>
        <v>18.907277351887604</v>
      </c>
      <c r="AF93" s="186">
        <f t="shared" ca="1" si="53"/>
        <v>19.548150694797155</v>
      </c>
      <c r="AG93" s="186">
        <f t="shared" ca="1" si="53"/>
        <v>20.22221371761362</v>
      </c>
      <c r="AH93" s="186">
        <f t="shared" ca="1" si="53"/>
        <v>20.854106978382134</v>
      </c>
      <c r="AI93" s="186">
        <f t="shared" ca="1" si="53"/>
        <v>21.483197753386044</v>
      </c>
      <c r="AJ93" s="186">
        <f t="shared" ca="1" si="53"/>
        <v>22.088242088057775</v>
      </c>
      <c r="AK93" s="186">
        <f t="shared" ca="1" si="53"/>
        <v>22.692754609790423</v>
      </c>
      <c r="AL93" s="186">
        <f t="shared" ca="1" si="53"/>
        <v>23.307211343370891</v>
      </c>
      <c r="AM93" s="186">
        <f t="shared" ca="1" si="53"/>
        <v>26.477315126262994</v>
      </c>
      <c r="AN93" s="186">
        <f t="shared" ca="1" si="53"/>
        <v>29.347842155609186</v>
      </c>
      <c r="AO93" s="186">
        <f t="shared" ca="1" si="53"/>
        <v>29.347842155609186</v>
      </c>
      <c r="AP93" s="186">
        <f t="shared" ca="1" si="53"/>
        <v>29.347842155609186</v>
      </c>
    </row>
    <row r="94" spans="1:54">
      <c r="A94" s="315" t="s">
        <v>16</v>
      </c>
      <c r="B94" s="228"/>
      <c r="D94" s="186"/>
      <c r="J94" s="42"/>
      <c r="K94" s="186"/>
      <c r="L94" s="186"/>
      <c r="M94" s="186"/>
      <c r="N94" s="186"/>
      <c r="O94" s="186"/>
      <c r="P94" s="186"/>
      <c r="Q94" s="186"/>
      <c r="R94" s="186"/>
      <c r="S94" s="186"/>
      <c r="T94" s="186"/>
      <c r="U94" s="186"/>
      <c r="V94" s="186"/>
      <c r="W94" s="186"/>
      <c r="X94" s="186"/>
      <c r="Y94" s="186"/>
      <c r="Z94" s="186"/>
      <c r="AA94" s="186"/>
      <c r="AB94" s="186"/>
      <c r="AC94" s="186"/>
      <c r="AD94" s="186"/>
      <c r="AE94" s="186"/>
      <c r="AF94" s="186"/>
      <c r="AG94" s="186"/>
      <c r="AH94" s="186"/>
      <c r="AI94" s="186"/>
      <c r="AJ94" s="186"/>
      <c r="AK94" s="186"/>
      <c r="AL94" s="186"/>
      <c r="AM94" s="186"/>
      <c r="AN94" s="186"/>
      <c r="AO94" s="186"/>
      <c r="AP94" s="186"/>
    </row>
    <row r="95" spans="1:54">
      <c r="A95" s="315" t="s">
        <v>16</v>
      </c>
      <c r="B95" s="228"/>
      <c r="D95" s="186"/>
    </row>
    <row r="96" spans="1:54" ht="18" thickBot="1">
      <c r="A96" s="315" t="s">
        <v>16</v>
      </c>
      <c r="B96" s="228"/>
      <c r="C96" s="37" t="s">
        <v>154</v>
      </c>
      <c r="D96" s="14"/>
      <c r="I96" s="135" t="s">
        <v>445</v>
      </c>
      <c r="J96" s="40">
        <f>J97-J3</f>
        <v>0</v>
      </c>
    </row>
    <row r="97" spans="1:54" ht="24" thickTop="1">
      <c r="A97" s="315" t="s">
        <v>16</v>
      </c>
      <c r="B97" s="16" t="s">
        <v>18</v>
      </c>
      <c r="C97" s="16" t="s">
        <v>19</v>
      </c>
      <c r="D97" s="16" t="s">
        <v>20</v>
      </c>
      <c r="E97" s="16" t="s">
        <v>21</v>
      </c>
      <c r="F97" s="16" t="s">
        <v>22</v>
      </c>
      <c r="G97" s="16" t="s">
        <v>23</v>
      </c>
      <c r="H97" s="16" t="s">
        <v>24</v>
      </c>
      <c r="I97" s="17" t="s">
        <v>25</v>
      </c>
      <c r="J97" s="18">
        <f>'[5]TS BYDem'!J7</f>
        <v>2012</v>
      </c>
      <c r="K97" s="18">
        <v>2013</v>
      </c>
      <c r="L97" s="18">
        <f t="shared" ref="L97:AL97" si="54">1+K97</f>
        <v>2014</v>
      </c>
      <c r="M97" s="18">
        <f t="shared" si="54"/>
        <v>2015</v>
      </c>
      <c r="N97" s="18">
        <f t="shared" si="54"/>
        <v>2016</v>
      </c>
      <c r="O97" s="18">
        <f t="shared" si="54"/>
        <v>2017</v>
      </c>
      <c r="P97" s="18">
        <f t="shared" si="54"/>
        <v>2018</v>
      </c>
      <c r="Q97" s="18">
        <f t="shared" si="54"/>
        <v>2019</v>
      </c>
      <c r="R97" s="18">
        <f t="shared" si="54"/>
        <v>2020</v>
      </c>
      <c r="S97" s="18">
        <f t="shared" si="54"/>
        <v>2021</v>
      </c>
      <c r="T97" s="18">
        <f t="shared" si="54"/>
        <v>2022</v>
      </c>
      <c r="U97" s="18">
        <f t="shared" si="54"/>
        <v>2023</v>
      </c>
      <c r="V97" s="18">
        <f t="shared" si="54"/>
        <v>2024</v>
      </c>
      <c r="W97" s="18">
        <f t="shared" si="54"/>
        <v>2025</v>
      </c>
      <c r="X97" s="18">
        <f t="shared" si="54"/>
        <v>2026</v>
      </c>
      <c r="Y97" s="18">
        <f t="shared" si="54"/>
        <v>2027</v>
      </c>
      <c r="Z97" s="18">
        <f t="shared" si="54"/>
        <v>2028</v>
      </c>
      <c r="AA97" s="18">
        <f t="shared" si="54"/>
        <v>2029</v>
      </c>
      <c r="AB97" s="18">
        <f t="shared" si="54"/>
        <v>2030</v>
      </c>
      <c r="AC97" s="18">
        <f t="shared" si="54"/>
        <v>2031</v>
      </c>
      <c r="AD97" s="18">
        <f t="shared" si="54"/>
        <v>2032</v>
      </c>
      <c r="AE97" s="18">
        <f t="shared" si="54"/>
        <v>2033</v>
      </c>
      <c r="AF97" s="18">
        <f t="shared" si="54"/>
        <v>2034</v>
      </c>
      <c r="AG97" s="18">
        <f t="shared" si="54"/>
        <v>2035</v>
      </c>
      <c r="AH97" s="18">
        <f t="shared" si="54"/>
        <v>2036</v>
      </c>
      <c r="AI97" s="18">
        <f t="shared" si="54"/>
        <v>2037</v>
      </c>
      <c r="AJ97" s="18">
        <f t="shared" si="54"/>
        <v>2038</v>
      </c>
      <c r="AK97" s="18">
        <f t="shared" si="54"/>
        <v>2039</v>
      </c>
      <c r="AL97" s="18">
        <f t="shared" si="54"/>
        <v>2040</v>
      </c>
      <c r="AM97" s="18">
        <f>5+AL97</f>
        <v>2045</v>
      </c>
      <c r="AN97" s="18">
        <f>5+AM97</f>
        <v>2050</v>
      </c>
      <c r="AO97" s="18">
        <f>10+AN97</f>
        <v>2060</v>
      </c>
      <c r="AP97" s="18">
        <f>10+AO97</f>
        <v>2070</v>
      </c>
      <c r="AQ97" s="18"/>
      <c r="AR97" s="18"/>
      <c r="AS97" s="18"/>
      <c r="AT97" s="18"/>
      <c r="AU97" s="18"/>
      <c r="AV97" s="18"/>
    </row>
    <row r="98" spans="1:54">
      <c r="A98" s="315" t="s">
        <v>16</v>
      </c>
      <c r="B98" s="16"/>
      <c r="C98" s="5" t="str">
        <f>C34</f>
        <v>Low Income Electrified</v>
      </c>
      <c r="D98" s="16"/>
      <c r="E98" s="16"/>
      <c r="F98" s="16"/>
      <c r="G98" s="16"/>
      <c r="H98" s="16"/>
      <c r="I98" s="17"/>
      <c r="J98" s="186"/>
    </row>
    <row r="99" spans="1:54">
      <c r="A99" s="22" t="str">
        <f>'[5]TS BYDem'!A10</f>
        <v/>
      </c>
      <c r="B99" s="22" t="str">
        <f>'[5]TS BYDem'!B10</f>
        <v>COM_PROJ</v>
      </c>
      <c r="C99" s="22" t="str">
        <f>'[5]TS BYDem'!C10</f>
        <v>-</v>
      </c>
      <c r="D99" s="22" t="str">
        <f>'[5]TS BYDem'!D10</f>
        <v>RLEL</v>
      </c>
      <c r="E99" s="111" t="str">
        <f>'[5]TS BYDem'!E10</f>
        <v>-</v>
      </c>
      <c r="F99" s="111" t="str">
        <f>'[5]TS BYDem'!F10</f>
        <v>-</v>
      </c>
      <c r="G99" s="111" t="str">
        <f>'[5]TS BYDem'!G10</f>
        <v>-</v>
      </c>
      <c r="H99" s="111" t="str">
        <f>'[5]TS BYDem'!H10</f>
        <v>-</v>
      </c>
      <c r="I99" s="111">
        <f>'[5]TS BYDem'!I10</f>
        <v>0</v>
      </c>
      <c r="J99" s="24">
        <f>'[5]TS BYDem'!J10</f>
        <v>10.675790841703828</v>
      </c>
      <c r="K99" s="24">
        <f t="shared" ref="K99:N128" si="55">($O99-$J99)*(K$97-$J$97)/($O$97-$J$97)+$J99</f>
        <v>12.639010653235388</v>
      </c>
      <c r="L99" s="24">
        <f t="shared" si="55"/>
        <v>14.602230464766947</v>
      </c>
      <c r="M99" s="24">
        <f t="shared" si="55"/>
        <v>16.565450276298506</v>
      </c>
      <c r="N99" s="24">
        <f t="shared" si="55"/>
        <v>18.528670087830069</v>
      </c>
      <c r="O99" s="24">
        <f>'[5]TS BYDem'!O10</f>
        <v>20.491889899361627</v>
      </c>
      <c r="P99" s="24">
        <f t="shared" ref="P99:AP99" ca="1" si="56">OFFSET(P$21,$BB99,$J$96)/OFFSET(O$21,$BB99,$J$96)*O99</f>
        <v>20.526407826903512</v>
      </c>
      <c r="Q99" s="24">
        <f t="shared" ca="1" si="56"/>
        <v>20.748275785921976</v>
      </c>
      <c r="R99" s="24">
        <f t="shared" ca="1" si="56"/>
        <v>21.673678197395017</v>
      </c>
      <c r="S99" s="24">
        <f t="shared" ca="1" si="56"/>
        <v>22.572401636983386</v>
      </c>
      <c r="T99" s="24">
        <f t="shared" ca="1" si="56"/>
        <v>22.53215283056171</v>
      </c>
      <c r="U99" s="24">
        <f t="shared" ca="1" si="56"/>
        <v>22.492971434020053</v>
      </c>
      <c r="V99" s="24">
        <f t="shared" ca="1" si="56"/>
        <v>22.44829068508071</v>
      </c>
      <c r="W99" s="24">
        <f t="shared" ca="1" si="56"/>
        <v>22.421454898087802</v>
      </c>
      <c r="X99" s="24">
        <f t="shared" ca="1" si="56"/>
        <v>22.272843079107666</v>
      </c>
      <c r="Y99" s="24">
        <f t="shared" ca="1" si="56"/>
        <v>22.091820355504218</v>
      </c>
      <c r="Z99" s="24">
        <f t="shared" ca="1" si="56"/>
        <v>21.905952773804316</v>
      </c>
      <c r="AA99" s="24">
        <f t="shared" ca="1" si="56"/>
        <v>21.679367084007598</v>
      </c>
      <c r="AB99" s="24">
        <f t="shared" ca="1" si="56"/>
        <v>21.46781651323246</v>
      </c>
      <c r="AC99" s="24">
        <f t="shared" ca="1" si="56"/>
        <v>21.20900964133406</v>
      </c>
      <c r="AD99" s="24">
        <f t="shared" ca="1" si="56"/>
        <v>20.959037338818071</v>
      </c>
      <c r="AE99" s="24">
        <f t="shared" ca="1" si="56"/>
        <v>20.700849681544451</v>
      </c>
      <c r="AF99" s="24">
        <f t="shared" ca="1" si="56"/>
        <v>20.407130454968872</v>
      </c>
      <c r="AG99" s="24">
        <f t="shared" ca="1" si="56"/>
        <v>20.088475385442667</v>
      </c>
      <c r="AH99" s="24">
        <f t="shared" ca="1" si="56"/>
        <v>19.746209220882047</v>
      </c>
      <c r="AI99" s="24">
        <f t="shared" ca="1" si="56"/>
        <v>19.418744964633053</v>
      </c>
      <c r="AJ99" s="24">
        <f t="shared" ca="1" si="56"/>
        <v>19.104913601777074</v>
      </c>
      <c r="AK99" s="24">
        <f t="shared" ca="1" si="56"/>
        <v>18.800880074411442</v>
      </c>
      <c r="AL99" s="24">
        <f t="shared" ca="1" si="56"/>
        <v>18.493052252983873</v>
      </c>
      <c r="AM99" s="24">
        <f t="shared" ca="1" si="56"/>
        <v>16.798412916108497</v>
      </c>
      <c r="AN99" s="24">
        <f t="shared" ca="1" si="56"/>
        <v>15.10619773410324</v>
      </c>
      <c r="AO99" s="24">
        <f t="shared" ca="1" si="56"/>
        <v>15.10619773410324</v>
      </c>
      <c r="AP99" s="24">
        <f t="shared" ca="1" si="56"/>
        <v>15.10619773410324</v>
      </c>
      <c r="AQ99" s="186"/>
      <c r="AR99" s="186"/>
      <c r="AS99" s="186"/>
      <c r="AT99" s="186"/>
      <c r="AU99" s="186"/>
      <c r="AV99" s="186"/>
      <c r="BB99" s="315">
        <f>MATCH(MID(D99,2,2),$B$34:$B$38,0)</f>
        <v>1</v>
      </c>
    </row>
    <row r="100" spans="1:54">
      <c r="A100" s="22" t="str">
        <f>'[5]TS BYDem'!A11</f>
        <v/>
      </c>
      <c r="B100" s="22" t="str">
        <f>'[5]TS BYDem'!B11</f>
        <v>COM_PROJ</v>
      </c>
      <c r="C100" s="22" t="str">
        <f>'[5]TS BYDem'!C11</f>
        <v>-</v>
      </c>
      <c r="D100" s="22" t="str">
        <f>'[5]TS BYDem'!D11</f>
        <v>RLNL</v>
      </c>
      <c r="E100" s="111" t="s">
        <v>137</v>
      </c>
      <c r="F100" s="111" t="s">
        <v>137</v>
      </c>
      <c r="G100" s="111" t="s">
        <v>137</v>
      </c>
      <c r="H100" s="111" t="s">
        <v>137</v>
      </c>
      <c r="I100" s="111">
        <v>0</v>
      </c>
      <c r="J100" s="186">
        <f>'[5]TS BYDem'!J11</f>
        <v>4.742986727829742E-2</v>
      </c>
      <c r="K100" s="24">
        <f t="shared" si="55"/>
        <v>4.5818274562462187E-2</v>
      </c>
      <c r="L100" s="24">
        <f t="shared" si="55"/>
        <v>4.4206681846626947E-2</v>
      </c>
      <c r="M100" s="24">
        <f t="shared" si="55"/>
        <v>4.2595089130791713E-2</v>
      </c>
      <c r="N100" s="24">
        <f t="shared" si="55"/>
        <v>4.0983496414956473E-2</v>
      </c>
      <c r="O100" s="24">
        <f>'[5]TS BYDem'!O11</f>
        <v>3.937190369912124E-2</v>
      </c>
      <c r="P100" s="24">
        <f t="shared" ref="P100:AP100" ca="1" si="57">OFFSET(P$21,$BB100,$J$96)/OFFSET(O$21,$BB100,$J$96)*O100</f>
        <v>3.9438224400908474E-2</v>
      </c>
      <c r="Q100" s="24">
        <f t="shared" ca="1" si="57"/>
        <v>3.9864508358088413E-2</v>
      </c>
      <c r="R100" s="24">
        <f t="shared" ca="1" si="57"/>
        <v>4.1642521748087455E-2</v>
      </c>
      <c r="S100" s="24">
        <f t="shared" ca="1" si="57"/>
        <v>4.3369275741466984E-2</v>
      </c>
      <c r="T100" s="24">
        <f t="shared" ca="1" si="57"/>
        <v>4.3291944068389425E-2</v>
      </c>
      <c r="U100" s="24">
        <f t="shared" ca="1" si="57"/>
        <v>4.3216663253442082E-2</v>
      </c>
      <c r="V100" s="24">
        <f t="shared" ca="1" si="57"/>
        <v>4.3130816308475865E-2</v>
      </c>
      <c r="W100" s="24">
        <f t="shared" ca="1" si="57"/>
        <v>4.3079255616594155E-2</v>
      </c>
      <c r="X100" s="24">
        <f t="shared" ca="1" si="57"/>
        <v>4.2793721668570185E-2</v>
      </c>
      <c r="Y100" s="24">
        <f t="shared" ca="1" si="57"/>
        <v>4.2445915327814394E-2</v>
      </c>
      <c r="Z100" s="24">
        <f t="shared" ca="1" si="57"/>
        <v>4.2088800363630191E-2</v>
      </c>
      <c r="AA100" s="24">
        <f t="shared" ca="1" si="57"/>
        <v>4.1653452037922409E-2</v>
      </c>
      <c r="AB100" s="24">
        <f t="shared" ca="1" si="57"/>
        <v>4.124699129950548E-2</v>
      </c>
      <c r="AC100" s="24">
        <f t="shared" ca="1" si="57"/>
        <v>4.0749735102683336E-2</v>
      </c>
      <c r="AD100" s="24">
        <f t="shared" ca="1" si="57"/>
        <v>4.0269453124279105E-2</v>
      </c>
      <c r="AE100" s="24">
        <f t="shared" ca="1" si="57"/>
        <v>3.9773386649766408E-2</v>
      </c>
      <c r="AF100" s="24">
        <f t="shared" ca="1" si="57"/>
        <v>3.9209051922217714E-2</v>
      </c>
      <c r="AG100" s="24">
        <f t="shared" ca="1" si="57"/>
        <v>3.8596806942753262E-2</v>
      </c>
      <c r="AH100" s="24">
        <f t="shared" ca="1" si="57"/>
        <v>3.7939197003566141E-2</v>
      </c>
      <c r="AI100" s="24">
        <f t="shared" ca="1" si="57"/>
        <v>3.731002657442279E-2</v>
      </c>
      <c r="AJ100" s="24">
        <f t="shared" ca="1" si="57"/>
        <v>3.6707049579288997E-2</v>
      </c>
      <c r="AK100" s="24">
        <f t="shared" ca="1" si="57"/>
        <v>3.6122897565027165E-2</v>
      </c>
      <c r="AL100" s="24">
        <f t="shared" ca="1" si="57"/>
        <v>3.553145541885723E-2</v>
      </c>
      <c r="AM100" s="24">
        <f t="shared" ca="1" si="57"/>
        <v>3.2275475755493992E-2</v>
      </c>
      <c r="AN100" s="24">
        <f t="shared" ca="1" si="57"/>
        <v>2.9024153719736937E-2</v>
      </c>
      <c r="AO100" s="24">
        <f t="shared" ca="1" si="57"/>
        <v>2.9024153719736937E-2</v>
      </c>
      <c r="AP100" s="24">
        <f t="shared" ca="1" si="57"/>
        <v>2.9024153719736937E-2</v>
      </c>
      <c r="AQ100" s="186"/>
      <c r="AR100" s="186"/>
      <c r="AS100" s="186"/>
      <c r="AT100" s="186"/>
      <c r="AU100" s="186"/>
      <c r="AV100" s="186"/>
      <c r="BB100" s="214">
        <v>1</v>
      </c>
    </row>
    <row r="101" spans="1:54">
      <c r="A101" s="22" t="str">
        <f>'[5]TS BYDem'!A12</f>
        <v/>
      </c>
      <c r="B101" s="22" t="str">
        <f>'[5]TS BYDem'!B12</f>
        <v>COM_PROJ</v>
      </c>
      <c r="C101" s="22" t="str">
        <f>'[5]TS BYDem'!C12</f>
        <v>-</v>
      </c>
      <c r="D101" s="22" t="str">
        <f>'[5]TS BYDem'!D12</f>
        <v>RLEK</v>
      </c>
      <c r="E101" s="111" t="s">
        <v>137</v>
      </c>
      <c r="F101" s="111" t="s">
        <v>137</v>
      </c>
      <c r="G101" s="111" t="s">
        <v>137</v>
      </c>
      <c r="H101" s="111" t="s">
        <v>137</v>
      </c>
      <c r="I101" s="111">
        <v>0</v>
      </c>
      <c r="J101" s="186">
        <f>'[5]TS BYDem'!J12</f>
        <v>10.057098199765919</v>
      </c>
      <c r="K101" s="24">
        <f t="shared" si="55"/>
        <v>10.651583309100051</v>
      </c>
      <c r="L101" s="24">
        <f t="shared" si="55"/>
        <v>11.246068418434183</v>
      </c>
      <c r="M101" s="24">
        <f t="shared" si="55"/>
        <v>11.840553527768316</v>
      </c>
      <c r="N101" s="24">
        <f t="shared" si="55"/>
        <v>12.435038637102448</v>
      </c>
      <c r="O101" s="24">
        <f>'[5]TS BYDem'!O12</f>
        <v>13.029523746436579</v>
      </c>
      <c r="P101" s="24">
        <f t="shared" ref="P101:AP101" ca="1" si="58">OFFSET(P$21,$BB101,$J$96)/OFFSET(O$21,$BB101,$J$96)*O101</f>
        <v>13.051471558902563</v>
      </c>
      <c r="Q101" s="24">
        <f t="shared" ca="1" si="58"/>
        <v>13.192543653999781</v>
      </c>
      <c r="R101" s="24">
        <f t="shared" ca="1" si="58"/>
        <v>13.780949738285511</v>
      </c>
      <c r="S101" s="24">
        <f t="shared" ca="1" si="58"/>
        <v>14.352392316549636</v>
      </c>
      <c r="T101" s="24">
        <f t="shared" ca="1" si="58"/>
        <v>14.326800593111123</v>
      </c>
      <c r="U101" s="24">
        <f t="shared" ca="1" si="58"/>
        <v>14.301887569511774</v>
      </c>
      <c r="V101" s="24">
        <f t="shared" ca="1" si="58"/>
        <v>14.27347784829168</v>
      </c>
      <c r="W101" s="24">
        <f t="shared" ca="1" si="58"/>
        <v>14.25641463325414</v>
      </c>
      <c r="X101" s="24">
        <f t="shared" ca="1" si="58"/>
        <v>14.161921580933809</v>
      </c>
      <c r="Y101" s="24">
        <f t="shared" ca="1" si="58"/>
        <v>14.046820441535768</v>
      </c>
      <c r="Z101" s="24">
        <f t="shared" ca="1" si="58"/>
        <v>13.92863875691101</v>
      </c>
      <c r="AA101" s="24">
        <f t="shared" ca="1" si="58"/>
        <v>13.784566948975861</v>
      </c>
      <c r="AB101" s="24">
        <f t="shared" ca="1" si="58"/>
        <v>13.650055042117883</v>
      </c>
      <c r="AC101" s="24">
        <f t="shared" ca="1" si="58"/>
        <v>13.485495779907215</v>
      </c>
      <c r="AD101" s="24">
        <f t="shared" ca="1" si="58"/>
        <v>13.3265538732515</v>
      </c>
      <c r="AE101" s="24">
        <f t="shared" ca="1" si="58"/>
        <v>13.162388331273439</v>
      </c>
      <c r="AF101" s="24">
        <f t="shared" ca="1" si="58"/>
        <v>12.975630464807901</v>
      </c>
      <c r="AG101" s="24">
        <f t="shared" ca="1" si="58"/>
        <v>12.773017440059832</v>
      </c>
      <c r="AH101" s="24">
        <f t="shared" ca="1" si="58"/>
        <v>12.555391582188943</v>
      </c>
      <c r="AI101" s="24">
        <f t="shared" ca="1" si="58"/>
        <v>12.347177341147253</v>
      </c>
      <c r="AJ101" s="24">
        <f t="shared" ca="1" si="58"/>
        <v>12.147631412743845</v>
      </c>
      <c r="AK101" s="24">
        <f t="shared" ca="1" si="58"/>
        <v>11.954315321159399</v>
      </c>
      <c r="AL101" s="24">
        <f t="shared" ca="1" si="58"/>
        <v>11.758586672957493</v>
      </c>
      <c r="AM101" s="24">
        <f t="shared" ca="1" si="58"/>
        <v>10.681070465818829</v>
      </c>
      <c r="AN101" s="24">
        <f t="shared" ca="1" si="58"/>
        <v>9.6050956286367857</v>
      </c>
      <c r="AO101" s="24">
        <f t="shared" ca="1" si="58"/>
        <v>9.6050956286367857</v>
      </c>
      <c r="AP101" s="24">
        <f t="shared" ca="1" si="58"/>
        <v>9.6050956286367857</v>
      </c>
      <c r="AQ101" s="186"/>
      <c r="AR101" s="186"/>
      <c r="AS101" s="186"/>
      <c r="AT101" s="186"/>
      <c r="AU101" s="186"/>
      <c r="AV101" s="186"/>
      <c r="BB101" s="315">
        <f t="shared" ref="BB101:BB110" si="59">MATCH(MID(D101,2,2),$B$34:$B$38,0)</f>
        <v>1</v>
      </c>
    </row>
    <row r="102" spans="1:54">
      <c r="A102" s="22" t="str">
        <f>'[5]TS BYDem'!A13</f>
        <v/>
      </c>
      <c r="B102" s="22" t="str">
        <f>'[5]TS BYDem'!B13</f>
        <v>COM_PROJ</v>
      </c>
      <c r="C102" s="22" t="str">
        <f>'[5]TS BYDem'!C13</f>
        <v>-</v>
      </c>
      <c r="D102" s="22" t="str">
        <f>'[5]TS BYDem'!D13</f>
        <v>RLEH</v>
      </c>
      <c r="E102" s="111" t="s">
        <v>137</v>
      </c>
      <c r="F102" s="111" t="s">
        <v>137</v>
      </c>
      <c r="G102" s="111" t="s">
        <v>137</v>
      </c>
      <c r="H102" s="111" t="s">
        <v>137</v>
      </c>
      <c r="I102" s="111">
        <v>0</v>
      </c>
      <c r="J102" s="186">
        <f>'[5]TS BYDem'!J13</f>
        <v>14.676645094763478</v>
      </c>
      <c r="K102" s="24">
        <f t="shared" si="55"/>
        <v>14.08428987326449</v>
      </c>
      <c r="L102" s="24">
        <f t="shared" si="55"/>
        <v>13.491934651765501</v>
      </c>
      <c r="M102" s="24">
        <f t="shared" si="55"/>
        <v>12.899579430266513</v>
      </c>
      <c r="N102" s="24">
        <f t="shared" si="55"/>
        <v>12.307224208767526</v>
      </c>
      <c r="O102" s="24">
        <f>'[5]TS BYDem'!O13</f>
        <v>11.714868987268536</v>
      </c>
      <c r="P102" s="24">
        <f t="shared" ref="P102:AP102" ca="1" si="60">IF($E$78=1, P89,P81)</f>
        <v>11.734602306198665</v>
      </c>
      <c r="Q102" s="24">
        <f t="shared" ca="1" si="60"/>
        <v>11.861440488774248</v>
      </c>
      <c r="R102" s="24">
        <f t="shared" ca="1" si="60"/>
        <v>12.390477491420196</v>
      </c>
      <c r="S102" s="24">
        <f t="shared" ca="1" si="60"/>
        <v>12.904262574312579</v>
      </c>
      <c r="T102" s="24">
        <f t="shared" ca="1" si="60"/>
        <v>12.881253008262815</v>
      </c>
      <c r="U102" s="24">
        <f t="shared" ca="1" si="60"/>
        <v>12.858853662498323</v>
      </c>
      <c r="V102" s="24">
        <f t="shared" ca="1" si="60"/>
        <v>12.833310429412061</v>
      </c>
      <c r="W102" s="24">
        <f t="shared" ca="1" si="60"/>
        <v>12.817968861097174</v>
      </c>
      <c r="X102" s="24">
        <f t="shared" ca="1" si="60"/>
        <v>12.733009982347479</v>
      </c>
      <c r="Y102" s="24">
        <f t="shared" ca="1" si="60"/>
        <v>12.629522334251197</v>
      </c>
      <c r="Z102" s="24">
        <f t="shared" ca="1" si="60"/>
        <v>12.523264962223124</v>
      </c>
      <c r="AA102" s="24">
        <f t="shared" ca="1" si="60"/>
        <v>12.393729732266559</v>
      </c>
      <c r="AB102" s="24">
        <f t="shared" ca="1" si="60"/>
        <v>12.272789827114627</v>
      </c>
      <c r="AC102" s="24">
        <f t="shared" ca="1" si="60"/>
        <v>12.124834288987858</v>
      </c>
      <c r="AD102" s="24">
        <f t="shared" ca="1" si="60"/>
        <v>11.981929325668105</v>
      </c>
      <c r="AE102" s="24">
        <f t="shared" ca="1" si="60"/>
        <v>11.834327782133339</v>
      </c>
      <c r="AF102" s="24">
        <f t="shared" ca="1" si="60"/>
        <v>11.666413437713505</v>
      </c>
      <c r="AG102" s="24">
        <f t="shared" ca="1" si="60"/>
        <v>11.484243691049741</v>
      </c>
      <c r="AH102" s="24">
        <f t="shared" ca="1" si="60"/>
        <v>11.288575878256765</v>
      </c>
      <c r="AI102" s="24">
        <f t="shared" ca="1" si="60"/>
        <v>11.10137006762581</v>
      </c>
      <c r="AJ102" s="24">
        <f t="shared" ca="1" si="60"/>
        <v>10.921957952979017</v>
      </c>
      <c r="AK102" s="24">
        <f t="shared" ca="1" si="60"/>
        <v>10.748147096180666</v>
      </c>
      <c r="AL102" s="24">
        <f t="shared" ca="1" si="60"/>
        <v>10.572167105249102</v>
      </c>
      <c r="AM102" s="24">
        <f t="shared" ca="1" si="60"/>
        <v>9.60337028320561</v>
      </c>
      <c r="AN102" s="24">
        <f t="shared" ca="1" si="60"/>
        <v>8.6359593097513798</v>
      </c>
      <c r="AO102" s="24">
        <f t="shared" ca="1" si="60"/>
        <v>8.6359593097513798</v>
      </c>
      <c r="AP102" s="24">
        <f t="shared" ca="1" si="60"/>
        <v>8.6359593097513798</v>
      </c>
      <c r="AQ102" s="186"/>
      <c r="AR102" s="186"/>
      <c r="AS102" s="186"/>
      <c r="AT102" s="186"/>
      <c r="AU102" s="186"/>
      <c r="AV102" s="186"/>
      <c r="BB102" s="315">
        <f t="shared" si="59"/>
        <v>1</v>
      </c>
    </row>
    <row r="103" spans="1:54">
      <c r="A103" s="22" t="str">
        <f>'[5]TS BYDem'!A14</f>
        <v/>
      </c>
      <c r="B103" s="22" t="str">
        <f>'[5]TS BYDem'!B14</f>
        <v>COM_PROJ</v>
      </c>
      <c r="C103" s="22" t="str">
        <f>'[5]TS BYDem'!C14</f>
        <v>-</v>
      </c>
      <c r="D103" s="22" t="str">
        <f>'[5]TS BYDem'!D14</f>
        <v>RLEWG</v>
      </c>
      <c r="E103" s="111" t="s">
        <v>137</v>
      </c>
      <c r="F103" s="111" t="s">
        <v>137</v>
      </c>
      <c r="G103" s="111" t="s">
        <v>137</v>
      </c>
      <c r="H103" s="111" t="s">
        <v>137</v>
      </c>
      <c r="I103" s="111">
        <v>0</v>
      </c>
      <c r="J103" s="186">
        <f>'[5]TS BYDem'!J14</f>
        <v>0</v>
      </c>
      <c r="K103" s="24">
        <f t="shared" si="55"/>
        <v>0</v>
      </c>
      <c r="L103" s="24">
        <f t="shared" si="55"/>
        <v>0</v>
      </c>
      <c r="M103" s="24">
        <f t="shared" si="55"/>
        <v>0</v>
      </c>
      <c r="N103" s="24">
        <f t="shared" si="55"/>
        <v>0</v>
      </c>
      <c r="O103" s="24">
        <f>'[5]TS BYDem'!O14</f>
        <v>0</v>
      </c>
      <c r="P103" s="24">
        <f t="shared" ref="P103:AP103" ca="1" si="61">OFFSET(P$21,$BB103,$J$96)/OFFSET(O$21,$BB103,$J$96)*O103</f>
        <v>0</v>
      </c>
      <c r="Q103" s="24">
        <f t="shared" ca="1" si="61"/>
        <v>0</v>
      </c>
      <c r="R103" s="24">
        <f t="shared" ca="1" si="61"/>
        <v>0</v>
      </c>
      <c r="S103" s="24">
        <f t="shared" ca="1" si="61"/>
        <v>0</v>
      </c>
      <c r="T103" s="24">
        <f t="shared" ca="1" si="61"/>
        <v>0</v>
      </c>
      <c r="U103" s="24">
        <f t="shared" ca="1" si="61"/>
        <v>0</v>
      </c>
      <c r="V103" s="24">
        <f t="shared" ca="1" si="61"/>
        <v>0</v>
      </c>
      <c r="W103" s="24">
        <f t="shared" ca="1" si="61"/>
        <v>0</v>
      </c>
      <c r="X103" s="24">
        <f t="shared" ca="1" si="61"/>
        <v>0</v>
      </c>
      <c r="Y103" s="24">
        <f t="shared" ca="1" si="61"/>
        <v>0</v>
      </c>
      <c r="Z103" s="24">
        <f t="shared" ca="1" si="61"/>
        <v>0</v>
      </c>
      <c r="AA103" s="24">
        <f t="shared" ca="1" si="61"/>
        <v>0</v>
      </c>
      <c r="AB103" s="24">
        <f t="shared" ca="1" si="61"/>
        <v>0</v>
      </c>
      <c r="AC103" s="24">
        <f t="shared" ca="1" si="61"/>
        <v>0</v>
      </c>
      <c r="AD103" s="24">
        <f t="shared" ca="1" si="61"/>
        <v>0</v>
      </c>
      <c r="AE103" s="24">
        <f t="shared" ca="1" si="61"/>
        <v>0</v>
      </c>
      <c r="AF103" s="24">
        <f t="shared" ca="1" si="61"/>
        <v>0</v>
      </c>
      <c r="AG103" s="24">
        <f t="shared" ca="1" si="61"/>
        <v>0</v>
      </c>
      <c r="AH103" s="24">
        <f t="shared" ca="1" si="61"/>
        <v>0</v>
      </c>
      <c r="AI103" s="24">
        <f t="shared" ca="1" si="61"/>
        <v>0</v>
      </c>
      <c r="AJ103" s="24">
        <f t="shared" ca="1" si="61"/>
        <v>0</v>
      </c>
      <c r="AK103" s="24">
        <f t="shared" ca="1" si="61"/>
        <v>0</v>
      </c>
      <c r="AL103" s="24">
        <f t="shared" ca="1" si="61"/>
        <v>0</v>
      </c>
      <c r="AM103" s="24">
        <f t="shared" ca="1" si="61"/>
        <v>0</v>
      </c>
      <c r="AN103" s="24">
        <f t="shared" ca="1" si="61"/>
        <v>0</v>
      </c>
      <c r="AO103" s="24">
        <f t="shared" ca="1" si="61"/>
        <v>0</v>
      </c>
      <c r="AP103" s="24">
        <f t="shared" ca="1" si="61"/>
        <v>0</v>
      </c>
      <c r="AQ103" s="186"/>
      <c r="AR103" s="186"/>
      <c r="AS103" s="186"/>
      <c r="AT103" s="186"/>
      <c r="AU103" s="186"/>
      <c r="AV103" s="186"/>
      <c r="BB103" s="315">
        <f t="shared" si="59"/>
        <v>1</v>
      </c>
    </row>
    <row r="104" spans="1:54">
      <c r="A104" s="22" t="str">
        <f>'[5]TS BYDem'!A15</f>
        <v/>
      </c>
      <c r="B104" s="22" t="str">
        <f>'[5]TS BYDem'!B15</f>
        <v>COM_PROJ</v>
      </c>
      <c r="C104" s="22" t="str">
        <f>'[5]TS BYDem'!C15</f>
        <v>-</v>
      </c>
      <c r="D104" s="22" t="str">
        <f>'[5]TS BYDem'!D15</f>
        <v>RLEW</v>
      </c>
      <c r="E104" s="111" t="s">
        <v>137</v>
      </c>
      <c r="F104" s="111" t="s">
        <v>137</v>
      </c>
      <c r="G104" s="111" t="s">
        <v>137</v>
      </c>
      <c r="H104" s="111" t="s">
        <v>137</v>
      </c>
      <c r="I104" s="111">
        <v>0</v>
      </c>
      <c r="J104" s="186">
        <f>'[5]TS BYDem'!J15</f>
        <v>5.6663208871172328</v>
      </c>
      <c r="K104" s="24">
        <f t="shared" si="55"/>
        <v>6.0410431274929115</v>
      </c>
      <c r="L104" s="24">
        <f t="shared" si="55"/>
        <v>6.4157653678685902</v>
      </c>
      <c r="M104" s="24">
        <f t="shared" si="55"/>
        <v>6.7904876082442698</v>
      </c>
      <c r="N104" s="24">
        <f t="shared" si="55"/>
        <v>7.1652098486199485</v>
      </c>
      <c r="O104" s="24">
        <f>'[5]TS BYDem'!O15</f>
        <v>7.5399320889956272</v>
      </c>
      <c r="P104" s="24">
        <f t="shared" ref="P104:AP104" ca="1" si="62">OFFSET(P$21,$BB104,$J$96)/OFFSET(O$21,$BB104,$J$96)*O104</f>
        <v>7.5526328613888456</v>
      </c>
      <c r="Q104" s="24">
        <f t="shared" ca="1" si="62"/>
        <v>7.6342685402812736</v>
      </c>
      <c r="R104" s="24">
        <f t="shared" ca="1" si="62"/>
        <v>7.9747677022310395</v>
      </c>
      <c r="S104" s="24">
        <f t="shared" ca="1" si="62"/>
        <v>8.3054504130285416</v>
      </c>
      <c r="T104" s="24">
        <f t="shared" ca="1" si="62"/>
        <v>8.2906409801957004</v>
      </c>
      <c r="U104" s="24">
        <f t="shared" ca="1" si="62"/>
        <v>8.2762242977653848</v>
      </c>
      <c r="V104" s="24">
        <f t="shared" ca="1" si="62"/>
        <v>8.2597841444001947</v>
      </c>
      <c r="W104" s="24">
        <f t="shared" ca="1" si="62"/>
        <v>8.2499099935788216</v>
      </c>
      <c r="X104" s="24">
        <f t="shared" ca="1" si="62"/>
        <v>8.1952287012121641</v>
      </c>
      <c r="Y104" s="24">
        <f t="shared" ca="1" si="62"/>
        <v>8.1286219094892811</v>
      </c>
      <c r="Z104" s="24">
        <f t="shared" ca="1" si="62"/>
        <v>8.0602324661316533</v>
      </c>
      <c r="AA104" s="24">
        <f t="shared" ca="1" si="62"/>
        <v>7.9768609117364342</v>
      </c>
      <c r="AB104" s="24">
        <f t="shared" ca="1" si="62"/>
        <v>7.8990214862434005</v>
      </c>
      <c r="AC104" s="24">
        <f t="shared" ca="1" si="62"/>
        <v>7.8037942403493981</v>
      </c>
      <c r="AD104" s="24">
        <f t="shared" ca="1" si="62"/>
        <v>7.7118176489097205</v>
      </c>
      <c r="AE104" s="24">
        <f t="shared" ca="1" si="62"/>
        <v>7.6168182412601304</v>
      </c>
      <c r="AF104" s="24">
        <f t="shared" ca="1" si="62"/>
        <v>7.5087450946402488</v>
      </c>
      <c r="AG104" s="24">
        <f t="shared" ca="1" si="62"/>
        <v>7.3914968761576478</v>
      </c>
      <c r="AH104" s="24">
        <f t="shared" ca="1" si="62"/>
        <v>7.2655610230068612</v>
      </c>
      <c r="AI104" s="24">
        <f t="shared" ca="1" si="62"/>
        <v>7.1450714895467105</v>
      </c>
      <c r="AJ104" s="24">
        <f t="shared" ca="1" si="62"/>
        <v>7.029598140092264</v>
      </c>
      <c r="AK104" s="24">
        <f t="shared" ca="1" si="62"/>
        <v>6.9177298760925598</v>
      </c>
      <c r="AL104" s="24">
        <f t="shared" ca="1" si="62"/>
        <v>6.8044655124801219</v>
      </c>
      <c r="AM104" s="24">
        <f t="shared" ca="1" si="62"/>
        <v>6.1809278310787121</v>
      </c>
      <c r="AN104" s="24">
        <f t="shared" ca="1" si="62"/>
        <v>5.5582821105058882</v>
      </c>
      <c r="AO104" s="24">
        <f t="shared" ca="1" si="62"/>
        <v>5.5582821105058882</v>
      </c>
      <c r="AP104" s="24">
        <f t="shared" ca="1" si="62"/>
        <v>5.5582821105058882</v>
      </c>
      <c r="AQ104" s="186"/>
      <c r="AR104" s="186"/>
      <c r="AS104" s="186"/>
      <c r="AT104" s="186"/>
      <c r="AU104" s="186"/>
      <c r="AV104" s="186"/>
      <c r="BB104" s="315">
        <f t="shared" si="59"/>
        <v>1</v>
      </c>
    </row>
    <row r="105" spans="1:54">
      <c r="A105" s="22" t="str">
        <f>'[5]TS BYDem'!A16</f>
        <v/>
      </c>
      <c r="B105" s="22" t="str">
        <f>'[5]TS BYDem'!B16</f>
        <v>COM_PROJ</v>
      </c>
      <c r="C105" s="22" t="str">
        <f>'[5]TS BYDem'!C16</f>
        <v>-</v>
      </c>
      <c r="D105" s="22" t="str">
        <f>'[5]TS BYDem'!D16</f>
        <v>RLER</v>
      </c>
      <c r="E105" s="111" t="s">
        <v>137</v>
      </c>
      <c r="F105" s="111" t="s">
        <v>137</v>
      </c>
      <c r="G105" s="111" t="s">
        <v>137</v>
      </c>
      <c r="H105" s="111" t="s">
        <v>137</v>
      </c>
      <c r="I105" s="111">
        <v>0</v>
      </c>
      <c r="J105" s="186">
        <f>'[5]TS BYDem'!J16</f>
        <v>1.4353020960038052</v>
      </c>
      <c r="K105" s="24">
        <f t="shared" si="55"/>
        <v>1.6984088756600515</v>
      </c>
      <c r="L105" s="24">
        <f t="shared" si="55"/>
        <v>1.9615156553162976</v>
      </c>
      <c r="M105" s="24">
        <f t="shared" si="55"/>
        <v>2.2246224349725439</v>
      </c>
      <c r="N105" s="24">
        <f t="shared" si="55"/>
        <v>2.4877292146287902</v>
      </c>
      <c r="O105" s="24">
        <f>'[5]TS BYDem'!O16</f>
        <v>2.7508359942850364</v>
      </c>
      <c r="P105" s="24">
        <f t="shared" ref="P105:AP105" ca="1" si="63">OFFSET(P$21,$BB105,$J$96)/OFFSET(O$21,$BB105,$J$96)*O105</f>
        <v>2.7554696887854786</v>
      </c>
      <c r="Q105" s="24">
        <f t="shared" ca="1" si="63"/>
        <v>2.7852532944286827</v>
      </c>
      <c r="R105" s="24">
        <f t="shared" ca="1" si="63"/>
        <v>2.9094795261320607</v>
      </c>
      <c r="S105" s="24">
        <f t="shared" ca="1" si="63"/>
        <v>3.0301243665381357</v>
      </c>
      <c r="T105" s="24">
        <f t="shared" ca="1" si="63"/>
        <v>3.024721357544065</v>
      </c>
      <c r="U105" s="24">
        <f t="shared" ca="1" si="63"/>
        <v>3.0194616378968058</v>
      </c>
      <c r="V105" s="24">
        <f t="shared" ca="1" si="63"/>
        <v>3.0134636839239133</v>
      </c>
      <c r="W105" s="24">
        <f t="shared" ca="1" si="63"/>
        <v>3.0098612417305577</v>
      </c>
      <c r="X105" s="24">
        <f t="shared" ca="1" si="63"/>
        <v>2.9899115571073023</v>
      </c>
      <c r="Y105" s="24">
        <f t="shared" ca="1" si="63"/>
        <v>2.965611025222862</v>
      </c>
      <c r="Z105" s="24">
        <f t="shared" ca="1" si="63"/>
        <v>2.9406601184777141</v>
      </c>
      <c r="AA105" s="24">
        <f t="shared" ca="1" si="63"/>
        <v>2.9102432035741197</v>
      </c>
      <c r="AB105" s="24">
        <f t="shared" ca="1" si="63"/>
        <v>2.8818446064921628</v>
      </c>
      <c r="AC105" s="24">
        <f t="shared" ca="1" si="63"/>
        <v>2.8471023127221473</v>
      </c>
      <c r="AD105" s="24">
        <f t="shared" ca="1" si="63"/>
        <v>2.8135459735698118</v>
      </c>
      <c r="AE105" s="24">
        <f t="shared" ca="1" si="63"/>
        <v>2.7788868033128735</v>
      </c>
      <c r="AF105" s="24">
        <f t="shared" ca="1" si="63"/>
        <v>2.7394578670534204</v>
      </c>
      <c r="AG105" s="24">
        <f t="shared" ca="1" si="63"/>
        <v>2.6966815375240785</v>
      </c>
      <c r="AH105" s="24">
        <f t="shared" ca="1" si="63"/>
        <v>2.6507356491885874</v>
      </c>
      <c r="AI105" s="24">
        <f t="shared" ca="1" si="63"/>
        <v>2.6067767724156075</v>
      </c>
      <c r="AJ105" s="24">
        <f t="shared" ca="1" si="63"/>
        <v>2.564647978374671</v>
      </c>
      <c r="AK105" s="24">
        <f t="shared" ca="1" si="63"/>
        <v>2.523834448014405</v>
      </c>
      <c r="AL105" s="24">
        <f t="shared" ca="1" si="63"/>
        <v>2.4825115707500838</v>
      </c>
      <c r="AM105" s="24">
        <f t="shared" ca="1" si="63"/>
        <v>2.2550227979671824</v>
      </c>
      <c r="AN105" s="24">
        <f t="shared" ca="1" si="63"/>
        <v>2.0278594442893612</v>
      </c>
      <c r="AO105" s="24">
        <f t="shared" ca="1" si="63"/>
        <v>2.0278594442893612</v>
      </c>
      <c r="AP105" s="24">
        <f t="shared" ca="1" si="63"/>
        <v>2.0278594442893612</v>
      </c>
      <c r="AQ105" s="186"/>
      <c r="AR105" s="186"/>
      <c r="AS105" s="186"/>
      <c r="AT105" s="186"/>
      <c r="AU105" s="186"/>
      <c r="AV105" s="186"/>
      <c r="BB105" s="315">
        <f t="shared" si="59"/>
        <v>1</v>
      </c>
    </row>
    <row r="106" spans="1:54">
      <c r="A106" s="22" t="str">
        <f>'[5]TS BYDem'!A17</f>
        <v/>
      </c>
      <c r="B106" s="22" t="str">
        <f>'[5]TS BYDem'!B17</f>
        <v>COM_PROJ</v>
      </c>
      <c r="C106" s="22" t="str">
        <f>'[5]TS BYDem'!C17</f>
        <v>-</v>
      </c>
      <c r="D106" s="22" t="str">
        <f>'[5]TS BYDem'!D17</f>
        <v>RLEO</v>
      </c>
      <c r="E106" s="111" t="s">
        <v>137</v>
      </c>
      <c r="F106" s="111" t="s">
        <v>137</v>
      </c>
      <c r="G106" s="111" t="s">
        <v>137</v>
      </c>
      <c r="H106" s="111" t="s">
        <v>137</v>
      </c>
      <c r="I106" s="111">
        <v>0</v>
      </c>
      <c r="J106" s="186">
        <f>'[5]TS BYDem'!J17</f>
        <v>1.9878001092508091</v>
      </c>
      <c r="K106" s="24">
        <f t="shared" si="55"/>
        <v>2.1565691406754266</v>
      </c>
      <c r="L106" s="24">
        <f t="shared" si="55"/>
        <v>2.3253381721000443</v>
      </c>
      <c r="M106" s="24">
        <f t="shared" si="55"/>
        <v>2.4941072035246621</v>
      </c>
      <c r="N106" s="24">
        <f t="shared" si="55"/>
        <v>2.6628762349492798</v>
      </c>
      <c r="O106" s="24">
        <f>'[5]TS BYDem'!O17</f>
        <v>2.8316452663738976</v>
      </c>
      <c r="P106" s="24">
        <f t="shared" ref="P106:AP106" ca="1" si="64">OFFSET(P$21,$BB106,$J$96)/OFFSET(O$21,$BB106,$J$96)*O106</f>
        <v>2.8364150814865612</v>
      </c>
      <c r="Q106" s="24">
        <f t="shared" ca="1" si="64"/>
        <v>2.8670736180588392</v>
      </c>
      <c r="R106" s="24">
        <f t="shared" ca="1" si="64"/>
        <v>2.9949491517850015</v>
      </c>
      <c r="S106" s="24">
        <f t="shared" ca="1" si="64"/>
        <v>3.1191380863336375</v>
      </c>
      <c r="T106" s="24">
        <f t="shared" ca="1" si="64"/>
        <v>3.1135763571451216</v>
      </c>
      <c r="U106" s="24">
        <f t="shared" ca="1" si="64"/>
        <v>3.1081621266084567</v>
      </c>
      <c r="V106" s="24">
        <f t="shared" ca="1" si="64"/>
        <v>3.1019879751830155</v>
      </c>
      <c r="W106" s="24">
        <f t="shared" ca="1" si="64"/>
        <v>3.0982797067128511</v>
      </c>
      <c r="X106" s="24">
        <f t="shared" ca="1" si="64"/>
        <v>3.0777439749765887</v>
      </c>
      <c r="Y106" s="24">
        <f t="shared" ca="1" si="64"/>
        <v>3.0527295843608271</v>
      </c>
      <c r="Z106" s="24">
        <f t="shared" ca="1" si="64"/>
        <v>3.0270457133036586</v>
      </c>
      <c r="AA106" s="24">
        <f t="shared" ca="1" si="64"/>
        <v>2.995735263213795</v>
      </c>
      <c r="AB106" s="24">
        <f t="shared" ca="1" si="64"/>
        <v>2.966502421573709</v>
      </c>
      <c r="AC106" s="24">
        <f t="shared" ca="1" si="64"/>
        <v>2.9307395291652849</v>
      </c>
      <c r="AD106" s="24">
        <f t="shared" ca="1" si="64"/>
        <v>2.8961974302851794</v>
      </c>
      <c r="AE106" s="24">
        <f t="shared" ca="1" si="64"/>
        <v>2.8605201032477261</v>
      </c>
      <c r="AF106" s="24">
        <f t="shared" ca="1" si="64"/>
        <v>2.8199328923237768</v>
      </c>
      <c r="AG106" s="24">
        <f t="shared" ca="1" si="64"/>
        <v>2.7758999542364982</v>
      </c>
      <c r="AH106" s="24">
        <f t="shared" ca="1" si="64"/>
        <v>2.7286043475609896</v>
      </c>
      <c r="AI106" s="24">
        <f t="shared" ca="1" si="64"/>
        <v>2.6833541234153389</v>
      </c>
      <c r="AJ106" s="24">
        <f t="shared" ca="1" si="64"/>
        <v>2.6399877429870267</v>
      </c>
      <c r="AK106" s="24">
        <f t="shared" ca="1" si="64"/>
        <v>2.5979752637666169</v>
      </c>
      <c r="AL106" s="24">
        <f t="shared" ca="1" si="64"/>
        <v>2.5554384749353085</v>
      </c>
      <c r="AM106" s="24">
        <f t="shared" ca="1" si="64"/>
        <v>2.3212669329232831</v>
      </c>
      <c r="AN106" s="24">
        <f t="shared" ca="1" si="64"/>
        <v>2.0874303696124241</v>
      </c>
      <c r="AO106" s="24">
        <f t="shared" ca="1" si="64"/>
        <v>2.0874303696124241</v>
      </c>
      <c r="AP106" s="24">
        <f t="shared" ca="1" si="64"/>
        <v>2.0874303696124241</v>
      </c>
      <c r="AQ106" s="186"/>
      <c r="AR106" s="186"/>
      <c r="AS106" s="186"/>
      <c r="AT106" s="186"/>
      <c r="AU106" s="186"/>
      <c r="AV106" s="186"/>
      <c r="BB106" s="315">
        <f t="shared" si="59"/>
        <v>1</v>
      </c>
    </row>
    <row r="107" spans="1:54">
      <c r="A107" s="22" t="str">
        <f>'[5]TS BYDem'!A18</f>
        <v>*</v>
      </c>
      <c r="B107" s="22" t="str">
        <f>'[5]TS BYDem'!B18</f>
        <v>COM_PROJ</v>
      </c>
      <c r="C107" s="22" t="str">
        <f>'[5]TS BYDem'!C18</f>
        <v>-</v>
      </c>
      <c r="D107" s="22">
        <f>'[5]TS BYDem'!D18</f>
        <v>0</v>
      </c>
      <c r="E107" s="111" t="s">
        <v>137</v>
      </c>
      <c r="F107" s="111" t="s">
        <v>137</v>
      </c>
      <c r="G107" s="111" t="s">
        <v>137</v>
      </c>
      <c r="H107" s="111" t="s">
        <v>137</v>
      </c>
      <c r="I107" s="111">
        <v>0</v>
      </c>
      <c r="J107" s="186">
        <f>'[5]TS BYDem'!J18</f>
        <v>0</v>
      </c>
      <c r="K107" s="24">
        <f t="shared" si="55"/>
        <v>0</v>
      </c>
      <c r="L107" s="24">
        <f t="shared" si="55"/>
        <v>0</v>
      </c>
      <c r="M107" s="24">
        <f t="shared" si="55"/>
        <v>0</v>
      </c>
      <c r="N107" s="24">
        <f t="shared" si="55"/>
        <v>0</v>
      </c>
      <c r="O107" s="24">
        <f>'[5]TS BYDem'!O18</f>
        <v>0</v>
      </c>
      <c r="P107" s="24" t="e">
        <f t="shared" ref="P107:AP107" ca="1" si="65">OFFSET(P$33,$BB107,$J$96)/OFFSET(O$33,$BB107,$J$96)*O107</f>
        <v>#N/A</v>
      </c>
      <c r="Q107" s="24" t="e">
        <f t="shared" ca="1" si="65"/>
        <v>#N/A</v>
      </c>
      <c r="R107" s="24" t="e">
        <f t="shared" ca="1" si="65"/>
        <v>#N/A</v>
      </c>
      <c r="S107" s="24" t="e">
        <f t="shared" ca="1" si="65"/>
        <v>#N/A</v>
      </c>
      <c r="T107" s="24" t="e">
        <f t="shared" ca="1" si="65"/>
        <v>#N/A</v>
      </c>
      <c r="U107" s="24" t="e">
        <f t="shared" ca="1" si="65"/>
        <v>#N/A</v>
      </c>
      <c r="V107" s="24" t="e">
        <f t="shared" ca="1" si="65"/>
        <v>#N/A</v>
      </c>
      <c r="W107" s="24" t="e">
        <f t="shared" ca="1" si="65"/>
        <v>#N/A</v>
      </c>
      <c r="X107" s="24" t="e">
        <f t="shared" ca="1" si="65"/>
        <v>#N/A</v>
      </c>
      <c r="Y107" s="24" t="e">
        <f t="shared" ca="1" si="65"/>
        <v>#N/A</v>
      </c>
      <c r="Z107" s="24" t="e">
        <f t="shared" ca="1" si="65"/>
        <v>#N/A</v>
      </c>
      <c r="AA107" s="24" t="e">
        <f t="shared" ca="1" si="65"/>
        <v>#N/A</v>
      </c>
      <c r="AB107" s="24" t="e">
        <f t="shared" ca="1" si="65"/>
        <v>#N/A</v>
      </c>
      <c r="AC107" s="24" t="e">
        <f t="shared" ca="1" si="65"/>
        <v>#N/A</v>
      </c>
      <c r="AD107" s="24" t="e">
        <f t="shared" ca="1" si="65"/>
        <v>#N/A</v>
      </c>
      <c r="AE107" s="24" t="e">
        <f t="shared" ca="1" si="65"/>
        <v>#N/A</v>
      </c>
      <c r="AF107" s="24" t="e">
        <f t="shared" ca="1" si="65"/>
        <v>#N/A</v>
      </c>
      <c r="AG107" s="24" t="e">
        <f t="shared" ca="1" si="65"/>
        <v>#N/A</v>
      </c>
      <c r="AH107" s="24" t="e">
        <f t="shared" ca="1" si="65"/>
        <v>#N/A</v>
      </c>
      <c r="AI107" s="24" t="e">
        <f t="shared" ca="1" si="65"/>
        <v>#N/A</v>
      </c>
      <c r="AJ107" s="24" t="e">
        <f t="shared" ca="1" si="65"/>
        <v>#N/A</v>
      </c>
      <c r="AK107" s="24" t="e">
        <f t="shared" ca="1" si="65"/>
        <v>#N/A</v>
      </c>
      <c r="AL107" s="24" t="e">
        <f t="shared" ca="1" si="65"/>
        <v>#N/A</v>
      </c>
      <c r="AM107" s="24" t="e">
        <f t="shared" ca="1" si="65"/>
        <v>#N/A</v>
      </c>
      <c r="AN107" s="24" t="e">
        <f t="shared" ca="1" si="65"/>
        <v>#N/A</v>
      </c>
      <c r="AO107" s="24" t="e">
        <f t="shared" ca="1" si="65"/>
        <v>#N/A</v>
      </c>
      <c r="AP107" s="24" t="e">
        <f t="shared" ca="1" si="65"/>
        <v>#N/A</v>
      </c>
      <c r="AQ107" s="186"/>
      <c r="AR107" s="186"/>
      <c r="AS107" s="186"/>
      <c r="AT107" s="186"/>
      <c r="AU107" s="186"/>
      <c r="AV107" s="186"/>
      <c r="BB107" s="315" t="e">
        <f t="shared" si="59"/>
        <v>#N/A</v>
      </c>
    </row>
    <row r="108" spans="1:54">
      <c r="A108" s="22" t="str">
        <f>'[5]TS BYDem'!A19</f>
        <v>*</v>
      </c>
      <c r="B108" s="22" t="str">
        <f>'[5]TS BYDem'!B19</f>
        <v>COM_PROJ</v>
      </c>
      <c r="C108" s="22" t="str">
        <f>'[5]TS BYDem'!C19</f>
        <v>-</v>
      </c>
      <c r="D108" s="22">
        <f>'[5]TS BYDem'!D19</f>
        <v>0</v>
      </c>
      <c r="E108" s="111" t="s">
        <v>137</v>
      </c>
      <c r="F108" s="111" t="s">
        <v>137</v>
      </c>
      <c r="G108" s="111" t="s">
        <v>137</v>
      </c>
      <c r="H108" s="111" t="s">
        <v>137</v>
      </c>
      <c r="I108" s="111">
        <v>0</v>
      </c>
      <c r="J108" s="186">
        <f>'[5]TS BYDem'!J19</f>
        <v>0</v>
      </c>
      <c r="K108" s="24">
        <f t="shared" si="55"/>
        <v>0</v>
      </c>
      <c r="L108" s="24">
        <f t="shared" si="55"/>
        <v>0</v>
      </c>
      <c r="M108" s="24">
        <f t="shared" si="55"/>
        <v>0</v>
      </c>
      <c r="N108" s="24">
        <f t="shared" si="55"/>
        <v>0</v>
      </c>
      <c r="O108" s="24">
        <f>'[5]TS BYDem'!O19</f>
        <v>0</v>
      </c>
      <c r="P108" s="24" t="e">
        <f t="shared" ref="P108:AP108" ca="1" si="66">OFFSET(P$33,$BB108,$J$96)/OFFSET(O$33,$BB108,$J$96)*O108</f>
        <v>#N/A</v>
      </c>
      <c r="Q108" s="24" t="e">
        <f t="shared" ca="1" si="66"/>
        <v>#N/A</v>
      </c>
      <c r="R108" s="24" t="e">
        <f t="shared" ca="1" si="66"/>
        <v>#N/A</v>
      </c>
      <c r="S108" s="24" t="e">
        <f t="shared" ca="1" si="66"/>
        <v>#N/A</v>
      </c>
      <c r="T108" s="24" t="e">
        <f t="shared" ca="1" si="66"/>
        <v>#N/A</v>
      </c>
      <c r="U108" s="24" t="e">
        <f t="shared" ca="1" si="66"/>
        <v>#N/A</v>
      </c>
      <c r="V108" s="24" t="e">
        <f t="shared" ca="1" si="66"/>
        <v>#N/A</v>
      </c>
      <c r="W108" s="24" t="e">
        <f t="shared" ca="1" si="66"/>
        <v>#N/A</v>
      </c>
      <c r="X108" s="24" t="e">
        <f t="shared" ca="1" si="66"/>
        <v>#N/A</v>
      </c>
      <c r="Y108" s="24" t="e">
        <f t="shared" ca="1" si="66"/>
        <v>#N/A</v>
      </c>
      <c r="Z108" s="24" t="e">
        <f t="shared" ca="1" si="66"/>
        <v>#N/A</v>
      </c>
      <c r="AA108" s="24" t="e">
        <f t="shared" ca="1" si="66"/>
        <v>#N/A</v>
      </c>
      <c r="AB108" s="24" t="e">
        <f t="shared" ca="1" si="66"/>
        <v>#N/A</v>
      </c>
      <c r="AC108" s="24" t="e">
        <f t="shared" ca="1" si="66"/>
        <v>#N/A</v>
      </c>
      <c r="AD108" s="24" t="e">
        <f t="shared" ca="1" si="66"/>
        <v>#N/A</v>
      </c>
      <c r="AE108" s="24" t="e">
        <f t="shared" ca="1" si="66"/>
        <v>#N/A</v>
      </c>
      <c r="AF108" s="24" t="e">
        <f t="shared" ca="1" si="66"/>
        <v>#N/A</v>
      </c>
      <c r="AG108" s="24" t="e">
        <f t="shared" ca="1" si="66"/>
        <v>#N/A</v>
      </c>
      <c r="AH108" s="24" t="e">
        <f t="shared" ca="1" si="66"/>
        <v>#N/A</v>
      </c>
      <c r="AI108" s="24" t="e">
        <f t="shared" ca="1" si="66"/>
        <v>#N/A</v>
      </c>
      <c r="AJ108" s="24" t="e">
        <f t="shared" ca="1" si="66"/>
        <v>#N/A</v>
      </c>
      <c r="AK108" s="24" t="e">
        <f t="shared" ca="1" si="66"/>
        <v>#N/A</v>
      </c>
      <c r="AL108" s="24" t="e">
        <f t="shared" ca="1" si="66"/>
        <v>#N/A</v>
      </c>
      <c r="AM108" s="24" t="e">
        <f t="shared" ca="1" si="66"/>
        <v>#N/A</v>
      </c>
      <c r="AN108" s="24" t="e">
        <f t="shared" ca="1" si="66"/>
        <v>#N/A</v>
      </c>
      <c r="AO108" s="24" t="e">
        <f t="shared" ca="1" si="66"/>
        <v>#N/A</v>
      </c>
      <c r="AP108" s="24" t="e">
        <f t="shared" ca="1" si="66"/>
        <v>#N/A</v>
      </c>
      <c r="AQ108" s="186"/>
      <c r="AR108" s="186"/>
      <c r="AS108" s="186"/>
      <c r="AT108" s="186"/>
      <c r="AU108" s="186"/>
      <c r="AV108" s="186"/>
      <c r="BB108" s="315" t="e">
        <f t="shared" si="59"/>
        <v>#N/A</v>
      </c>
    </row>
    <row r="109" spans="1:54">
      <c r="A109" s="22" t="str">
        <f>'[5]TS BYDem'!A20</f>
        <v>*</v>
      </c>
      <c r="B109" s="22" t="str">
        <f>'[5]TS BYDem'!B20</f>
        <v>COM_PROJ</v>
      </c>
      <c r="C109" s="22" t="str">
        <f>'[5]TS BYDem'!C20</f>
        <v>-</v>
      </c>
      <c r="D109" s="22">
        <f>'[5]TS BYDem'!D20</f>
        <v>0</v>
      </c>
      <c r="E109" s="111" t="s">
        <v>137</v>
      </c>
      <c r="F109" s="111" t="s">
        <v>137</v>
      </c>
      <c r="G109" s="111" t="s">
        <v>137</v>
      </c>
      <c r="H109" s="111" t="s">
        <v>137</v>
      </c>
      <c r="I109" s="111">
        <v>0</v>
      </c>
      <c r="J109" s="186">
        <f>'[5]TS BYDem'!J20</f>
        <v>0</v>
      </c>
      <c r="K109" s="24">
        <f t="shared" si="55"/>
        <v>0</v>
      </c>
      <c r="L109" s="24">
        <f t="shared" si="55"/>
        <v>0</v>
      </c>
      <c r="M109" s="24">
        <f t="shared" si="55"/>
        <v>0</v>
      </c>
      <c r="N109" s="24">
        <f t="shared" si="55"/>
        <v>0</v>
      </c>
      <c r="O109" s="24">
        <f>'[5]TS BYDem'!O20</f>
        <v>0</v>
      </c>
      <c r="P109" s="24" t="e">
        <f t="shared" ref="P109:AP109" ca="1" si="67">OFFSET(P$33,$BB109,$J$96)/OFFSET(O$33,$BB109,$J$96)*O109</f>
        <v>#N/A</v>
      </c>
      <c r="Q109" s="24" t="e">
        <f t="shared" ca="1" si="67"/>
        <v>#N/A</v>
      </c>
      <c r="R109" s="24" t="e">
        <f t="shared" ca="1" si="67"/>
        <v>#N/A</v>
      </c>
      <c r="S109" s="24" t="e">
        <f t="shared" ca="1" si="67"/>
        <v>#N/A</v>
      </c>
      <c r="T109" s="24" t="e">
        <f t="shared" ca="1" si="67"/>
        <v>#N/A</v>
      </c>
      <c r="U109" s="24" t="e">
        <f t="shared" ca="1" si="67"/>
        <v>#N/A</v>
      </c>
      <c r="V109" s="24" t="e">
        <f t="shared" ca="1" si="67"/>
        <v>#N/A</v>
      </c>
      <c r="W109" s="24" t="e">
        <f t="shared" ca="1" si="67"/>
        <v>#N/A</v>
      </c>
      <c r="X109" s="24" t="e">
        <f t="shared" ca="1" si="67"/>
        <v>#N/A</v>
      </c>
      <c r="Y109" s="24" t="e">
        <f t="shared" ca="1" si="67"/>
        <v>#N/A</v>
      </c>
      <c r="Z109" s="24" t="e">
        <f t="shared" ca="1" si="67"/>
        <v>#N/A</v>
      </c>
      <c r="AA109" s="24" t="e">
        <f t="shared" ca="1" si="67"/>
        <v>#N/A</v>
      </c>
      <c r="AB109" s="24" t="e">
        <f t="shared" ca="1" si="67"/>
        <v>#N/A</v>
      </c>
      <c r="AC109" s="24" t="e">
        <f t="shared" ca="1" si="67"/>
        <v>#N/A</v>
      </c>
      <c r="AD109" s="24" t="e">
        <f t="shared" ca="1" si="67"/>
        <v>#N/A</v>
      </c>
      <c r="AE109" s="24" t="e">
        <f t="shared" ca="1" si="67"/>
        <v>#N/A</v>
      </c>
      <c r="AF109" s="24" t="e">
        <f t="shared" ca="1" si="67"/>
        <v>#N/A</v>
      </c>
      <c r="AG109" s="24" t="e">
        <f t="shared" ca="1" si="67"/>
        <v>#N/A</v>
      </c>
      <c r="AH109" s="24" t="e">
        <f t="shared" ca="1" si="67"/>
        <v>#N/A</v>
      </c>
      <c r="AI109" s="24" t="e">
        <f t="shared" ca="1" si="67"/>
        <v>#N/A</v>
      </c>
      <c r="AJ109" s="24" t="e">
        <f t="shared" ca="1" si="67"/>
        <v>#N/A</v>
      </c>
      <c r="AK109" s="24" t="e">
        <f t="shared" ca="1" si="67"/>
        <v>#N/A</v>
      </c>
      <c r="AL109" s="24" t="e">
        <f t="shared" ca="1" si="67"/>
        <v>#N/A</v>
      </c>
      <c r="AM109" s="24" t="e">
        <f t="shared" ca="1" si="67"/>
        <v>#N/A</v>
      </c>
      <c r="AN109" s="24" t="e">
        <f t="shared" ca="1" si="67"/>
        <v>#N/A</v>
      </c>
      <c r="AO109" s="24" t="e">
        <f t="shared" ca="1" si="67"/>
        <v>#N/A</v>
      </c>
      <c r="AP109" s="24" t="e">
        <f t="shared" ca="1" si="67"/>
        <v>#N/A</v>
      </c>
      <c r="AQ109" s="186"/>
      <c r="AR109" s="186"/>
      <c r="AS109" s="186"/>
      <c r="AT109" s="186"/>
      <c r="AU109" s="186"/>
      <c r="AV109" s="186"/>
      <c r="BB109" s="315" t="e">
        <f t="shared" si="59"/>
        <v>#N/A</v>
      </c>
    </row>
    <row r="110" spans="1:54">
      <c r="A110" s="22" t="str">
        <f>'[5]TS BYDem'!A21</f>
        <v/>
      </c>
      <c r="B110" s="22" t="str">
        <f>'[5]TS BYDem'!B21</f>
        <v>COM_PROJ</v>
      </c>
      <c r="C110" s="22" t="str">
        <f>'[5]TS BYDem'!C21</f>
        <v>-</v>
      </c>
      <c r="D110" s="22" t="str">
        <f>'[5]TS BYDem'!D21</f>
        <v>RMEL</v>
      </c>
      <c r="E110" s="111" t="s">
        <v>137</v>
      </c>
      <c r="F110" s="111" t="s">
        <v>137</v>
      </c>
      <c r="G110" s="111" t="s">
        <v>137</v>
      </c>
      <c r="H110" s="111" t="s">
        <v>137</v>
      </c>
      <c r="I110" s="111">
        <v>0</v>
      </c>
      <c r="J110" s="186">
        <f>'[5]TS BYDem'!J21</f>
        <v>16.048248534198041</v>
      </c>
      <c r="K110" s="24">
        <f t="shared" si="55"/>
        <v>17.585213087537426</v>
      </c>
      <c r="L110" s="24">
        <f t="shared" si="55"/>
        <v>19.12217764087681</v>
      </c>
      <c r="M110" s="24">
        <f t="shared" si="55"/>
        <v>20.659142194216194</v>
      </c>
      <c r="N110" s="24">
        <f t="shared" si="55"/>
        <v>22.196106747555582</v>
      </c>
      <c r="O110" s="24">
        <f>'[5]TS BYDem'!O21</f>
        <v>23.733071300894967</v>
      </c>
      <c r="P110" s="24">
        <f t="shared" ref="P110:AP110" ca="1" si="68">OFFSET(P$33,$BB110,$J$96)/OFFSET(O$33,$BB110,$J$96)*O110</f>
        <v>24.374461775070689</v>
      </c>
      <c r="Q110" s="24">
        <f t="shared" ca="1" si="68"/>
        <v>25.005650242556861</v>
      </c>
      <c r="R110" s="24">
        <f t="shared" ca="1" si="68"/>
        <v>26.343161760378774</v>
      </c>
      <c r="S110" s="24">
        <f t="shared" ca="1" si="68"/>
        <v>25.252619628777868</v>
      </c>
      <c r="T110" s="24">
        <f t="shared" ca="1" si="68"/>
        <v>25.724385892482257</v>
      </c>
      <c r="U110" s="24">
        <f t="shared" ca="1" si="68"/>
        <v>26.167117752303955</v>
      </c>
      <c r="V110" s="24">
        <f t="shared" ca="1" si="68"/>
        <v>26.651592302171192</v>
      </c>
      <c r="W110" s="24">
        <f t="shared" ca="1" si="68"/>
        <v>27.133496642905587</v>
      </c>
      <c r="X110" s="24">
        <f t="shared" ca="1" si="68"/>
        <v>27.520464144342252</v>
      </c>
      <c r="Y110" s="24">
        <f t="shared" ca="1" si="68"/>
        <v>27.983568473064885</v>
      </c>
      <c r="Z110" s="24">
        <f t="shared" ca="1" si="68"/>
        <v>28.434086624257716</v>
      </c>
      <c r="AA110" s="24">
        <f t="shared" ca="1" si="68"/>
        <v>28.868481159656845</v>
      </c>
      <c r="AB110" s="24">
        <f t="shared" ca="1" si="68"/>
        <v>29.383408487585221</v>
      </c>
      <c r="AC110" s="24">
        <f t="shared" ca="1" si="68"/>
        <v>29.782250507218865</v>
      </c>
      <c r="AD110" s="24">
        <f t="shared" ca="1" si="68"/>
        <v>30.271749022195767</v>
      </c>
      <c r="AE110" s="24">
        <f t="shared" ca="1" si="68"/>
        <v>30.707716160616329</v>
      </c>
      <c r="AF110" s="24">
        <f t="shared" ca="1" si="68"/>
        <v>31.165670138634496</v>
      </c>
      <c r="AG110" s="24">
        <f t="shared" ca="1" si="68"/>
        <v>31.630379986274107</v>
      </c>
      <c r="AH110" s="24">
        <f t="shared" ca="1" si="68"/>
        <v>32.085770607336208</v>
      </c>
      <c r="AI110" s="24">
        <f t="shared" ca="1" si="68"/>
        <v>32.523629497380334</v>
      </c>
      <c r="AJ110" s="24">
        <f t="shared" ca="1" si="68"/>
        <v>32.974478937282868</v>
      </c>
      <c r="AK110" s="24">
        <f t="shared" ca="1" si="68"/>
        <v>33.413739522195868</v>
      </c>
      <c r="AL110" s="24">
        <f t="shared" ca="1" si="68"/>
        <v>33.851628264972547</v>
      </c>
      <c r="AM110" s="24">
        <f t="shared" ca="1" si="68"/>
        <v>35.707463188568454</v>
      </c>
      <c r="AN110" s="24">
        <f t="shared" ca="1" si="68"/>
        <v>37.485019248583988</v>
      </c>
      <c r="AO110" s="24">
        <f t="shared" ca="1" si="68"/>
        <v>37.485019248583988</v>
      </c>
      <c r="AP110" s="24">
        <f t="shared" ca="1" si="68"/>
        <v>37.485019248583988</v>
      </c>
      <c r="AQ110" s="186"/>
      <c r="AR110" s="186"/>
      <c r="AS110" s="186"/>
      <c r="AT110" s="186"/>
      <c r="AU110" s="186"/>
      <c r="AV110" s="186"/>
      <c r="BB110" s="315">
        <f t="shared" si="59"/>
        <v>2</v>
      </c>
    </row>
    <row r="111" spans="1:54" s="317" customFormat="1">
      <c r="A111" s="321" t="str">
        <f>'[5]TS BYDem'!A22</f>
        <v/>
      </c>
      <c r="B111" s="321" t="str">
        <f>'[5]TS BYDem'!B22</f>
        <v>COM_PROJ</v>
      </c>
      <c r="C111" s="321" t="str">
        <f>'[5]TS BYDem'!C22</f>
        <v>-</v>
      </c>
      <c r="D111" s="321" t="str">
        <f>'[5]TS BYDem'!D22</f>
        <v>RMNL</v>
      </c>
      <c r="E111" s="320" t="s">
        <v>137</v>
      </c>
      <c r="F111" s="320" t="s">
        <v>137</v>
      </c>
      <c r="G111" s="320" t="s">
        <v>137</v>
      </c>
      <c r="H111" s="320" t="s">
        <v>137</v>
      </c>
      <c r="I111" s="320">
        <v>0</v>
      </c>
      <c r="J111" s="318">
        <f>'[5]TS BYDem'!J22</f>
        <v>3.3422499241462768E-2</v>
      </c>
      <c r="K111" s="319">
        <f t="shared" si="55"/>
        <v>4.0702012494378374E-2</v>
      </c>
      <c r="L111" s="319">
        <f t="shared" si="55"/>
        <v>4.7981525747293988E-2</v>
      </c>
      <c r="M111" s="319">
        <f t="shared" si="55"/>
        <v>5.5261039000209594E-2</v>
      </c>
      <c r="N111" s="319">
        <f t="shared" si="55"/>
        <v>6.2540552253125201E-2</v>
      </c>
      <c r="O111" s="319">
        <f>'[5]TS BYDem'!O22</f>
        <v>6.9820065506040807E-2</v>
      </c>
      <c r="P111" s="24">
        <f t="shared" ref="P111:AP111" ca="1" si="69">OFFSET(P$33,$BB111,$J$96)/OFFSET(O$33,$BB111,$J$96)*O111</f>
        <v>7.170696519778913E-2</v>
      </c>
      <c r="Q111" s="24">
        <f t="shared" ca="1" si="69"/>
        <v>7.3563851716512904E-2</v>
      </c>
      <c r="R111" s="24">
        <f t="shared" ca="1" si="69"/>
        <v>7.7498662369775831E-2</v>
      </c>
      <c r="S111" s="24">
        <f t="shared" ca="1" si="69"/>
        <v>7.4290408279939532E-2</v>
      </c>
      <c r="T111" s="24">
        <f t="shared" ca="1" si="69"/>
        <v>7.5678292343395681E-2</v>
      </c>
      <c r="U111" s="24">
        <f t="shared" ca="1" si="69"/>
        <v>7.6980760408420057E-2</v>
      </c>
      <c r="V111" s="24">
        <f t="shared" ca="1" si="69"/>
        <v>7.8406030841348159E-2</v>
      </c>
      <c r="W111" s="24">
        <f t="shared" ca="1" si="69"/>
        <v>7.9823740003855587E-2</v>
      </c>
      <c r="X111" s="24">
        <f t="shared" ca="1" si="69"/>
        <v>8.096215550669858E-2</v>
      </c>
      <c r="Y111" s="24">
        <f t="shared" ca="1" si="69"/>
        <v>8.2324557117413252E-2</v>
      </c>
      <c r="Z111" s="24">
        <f t="shared" ca="1" si="69"/>
        <v>8.3649931588721471E-2</v>
      </c>
      <c r="AA111" s="24">
        <f t="shared" ca="1" si="69"/>
        <v>8.4927872169293928E-2</v>
      </c>
      <c r="AB111" s="24">
        <f t="shared" ca="1" si="69"/>
        <v>8.6442731300292869E-2</v>
      </c>
      <c r="AC111" s="24">
        <f t="shared" ca="1" si="69"/>
        <v>8.7616080319656092E-2</v>
      </c>
      <c r="AD111" s="24">
        <f t="shared" ca="1" si="69"/>
        <v>8.905613070114668E-2</v>
      </c>
      <c r="AE111" s="24">
        <f t="shared" ca="1" si="69"/>
        <v>9.0338697705521581E-2</v>
      </c>
      <c r="AF111" s="24">
        <f t="shared" ca="1" si="69"/>
        <v>9.1685947555260772E-2</v>
      </c>
      <c r="AG111" s="24">
        <f t="shared" ca="1" si="69"/>
        <v>9.3053072424694613E-2</v>
      </c>
      <c r="AH111" s="24">
        <f t="shared" ca="1" si="69"/>
        <v>9.4392781162357803E-2</v>
      </c>
      <c r="AI111" s="24">
        <f t="shared" ca="1" si="69"/>
        <v>9.5680913490352376E-2</v>
      </c>
      <c r="AJ111" s="24">
        <f t="shared" ca="1" si="69"/>
        <v>9.700726257632887E-2</v>
      </c>
      <c r="AK111" s="24">
        <f t="shared" ca="1" si="69"/>
        <v>9.8299518535282279E-2</v>
      </c>
      <c r="AL111" s="24">
        <f t="shared" ca="1" si="69"/>
        <v>9.9587738686707533E-2</v>
      </c>
      <c r="AM111" s="24">
        <f t="shared" ca="1" si="69"/>
        <v>0.10504739935561465</v>
      </c>
      <c r="AN111" s="24">
        <f t="shared" ca="1" si="69"/>
        <v>0.11027677228326704</v>
      </c>
      <c r="AO111" s="24">
        <f t="shared" ca="1" si="69"/>
        <v>0.11027677228326704</v>
      </c>
      <c r="AP111" s="24">
        <f t="shared" ca="1" si="69"/>
        <v>0.11027677228326704</v>
      </c>
      <c r="AQ111" s="318"/>
      <c r="AR111" s="318"/>
      <c r="AS111" s="318"/>
      <c r="AT111" s="318"/>
      <c r="AU111" s="318"/>
      <c r="AV111" s="318"/>
      <c r="BB111" s="322">
        <v>2</v>
      </c>
    </row>
    <row r="112" spans="1:54">
      <c r="A112" s="22" t="str">
        <f>'[5]TS BYDem'!A23</f>
        <v/>
      </c>
      <c r="B112" s="22" t="str">
        <f>'[5]TS BYDem'!B23</f>
        <v>COM_PROJ</v>
      </c>
      <c r="C112" s="22" t="str">
        <f>'[5]TS BYDem'!C23</f>
        <v>-</v>
      </c>
      <c r="D112" s="22" t="str">
        <f>'[5]TS BYDem'!D23</f>
        <v>RMEK</v>
      </c>
      <c r="E112" s="111" t="s">
        <v>137</v>
      </c>
      <c r="F112" s="111" t="s">
        <v>137</v>
      </c>
      <c r="G112" s="111" t="s">
        <v>137</v>
      </c>
      <c r="H112" s="111" t="s">
        <v>137</v>
      </c>
      <c r="I112" s="111">
        <v>0</v>
      </c>
      <c r="J112" s="186">
        <f>'[5]TS BYDem'!J23</f>
        <v>9.0463349071673473</v>
      </c>
      <c r="K112" s="24">
        <f t="shared" si="55"/>
        <v>8.9413508126583654</v>
      </c>
      <c r="L112" s="24">
        <f t="shared" si="55"/>
        <v>8.8363667181493835</v>
      </c>
      <c r="M112" s="24">
        <f t="shared" si="55"/>
        <v>8.7313826236403997</v>
      </c>
      <c r="N112" s="24">
        <f t="shared" si="55"/>
        <v>8.6263985291314178</v>
      </c>
      <c r="O112" s="24">
        <f>'[5]TS BYDem'!O23</f>
        <v>8.5214144346224359</v>
      </c>
      <c r="P112" s="24">
        <f t="shared" ref="P112:AP112" ca="1" si="70">OFFSET(P$33,$BB112,$J$96)/OFFSET(O$33,$BB112,$J$96)*O112</f>
        <v>8.7517071757336229</v>
      </c>
      <c r="Q112" s="24">
        <f t="shared" ca="1" si="70"/>
        <v>8.9783368626212638</v>
      </c>
      <c r="R112" s="24">
        <f t="shared" ca="1" si="70"/>
        <v>9.4585734830712944</v>
      </c>
      <c r="S112" s="24">
        <f t="shared" ca="1" si="70"/>
        <v>9.0670117949960787</v>
      </c>
      <c r="T112" s="24">
        <f t="shared" ca="1" si="70"/>
        <v>9.2364005689280422</v>
      </c>
      <c r="U112" s="24">
        <f t="shared" ca="1" si="70"/>
        <v>9.3953644726352543</v>
      </c>
      <c r="V112" s="24">
        <f t="shared" ca="1" si="70"/>
        <v>9.5693161862632419</v>
      </c>
      <c r="W112" s="24">
        <f t="shared" ca="1" si="70"/>
        <v>9.7423450603258424</v>
      </c>
      <c r="X112" s="24">
        <f t="shared" ca="1" si="70"/>
        <v>9.8812866414918599</v>
      </c>
      <c r="Y112" s="24">
        <f t="shared" ca="1" si="70"/>
        <v>10.047565327527931</v>
      </c>
      <c r="Z112" s="24">
        <f t="shared" ca="1" si="70"/>
        <v>10.209324917256598</v>
      </c>
      <c r="AA112" s="24">
        <f t="shared" ca="1" si="70"/>
        <v>10.365295285243974</v>
      </c>
      <c r="AB112" s="24">
        <f t="shared" ca="1" si="70"/>
        <v>10.550181139643483</v>
      </c>
      <c r="AC112" s="24">
        <f t="shared" ca="1" si="70"/>
        <v>10.693386294178705</v>
      </c>
      <c r="AD112" s="24">
        <f t="shared" ca="1" si="70"/>
        <v>10.86914187416102</v>
      </c>
      <c r="AE112" s="24">
        <f t="shared" ca="1" si="70"/>
        <v>11.025676888919852</v>
      </c>
      <c r="AF112" s="24">
        <f t="shared" ca="1" si="70"/>
        <v>11.19010632955991</v>
      </c>
      <c r="AG112" s="24">
        <f t="shared" ca="1" si="70"/>
        <v>11.356961480896267</v>
      </c>
      <c r="AH112" s="24">
        <f t="shared" ca="1" si="70"/>
        <v>11.520470542260943</v>
      </c>
      <c r="AI112" s="24">
        <f t="shared" ca="1" si="70"/>
        <v>11.677684794838909</v>
      </c>
      <c r="AJ112" s="24">
        <f t="shared" ca="1" si="70"/>
        <v>11.839563334549107</v>
      </c>
      <c r="AK112" s="24">
        <f t="shared" ca="1" si="70"/>
        <v>11.997280868928957</v>
      </c>
      <c r="AL112" s="24">
        <f t="shared" ca="1" si="70"/>
        <v>12.154505840199958</v>
      </c>
      <c r="AM112" s="24">
        <f t="shared" ca="1" si="70"/>
        <v>12.820847684696513</v>
      </c>
      <c r="AN112" s="24">
        <f t="shared" ca="1" si="70"/>
        <v>13.459083321210855</v>
      </c>
      <c r="AO112" s="24">
        <f t="shared" ca="1" si="70"/>
        <v>13.459083321210855</v>
      </c>
      <c r="AP112" s="24">
        <f t="shared" ca="1" si="70"/>
        <v>13.459083321210855</v>
      </c>
      <c r="AQ112" s="186"/>
      <c r="AR112" s="186"/>
      <c r="AS112" s="186"/>
      <c r="AT112" s="186"/>
      <c r="AU112" s="186"/>
      <c r="AV112" s="186"/>
      <c r="BB112" s="315">
        <f t="shared" ref="BB112:BB128" si="71">MATCH(MID(D112,2,2),$B$34:$B$38,0)</f>
        <v>2</v>
      </c>
    </row>
    <row r="113" spans="1:54">
      <c r="A113" s="22" t="str">
        <f>'[5]TS BYDem'!A24</f>
        <v/>
      </c>
      <c r="B113" s="22" t="str">
        <f>'[5]TS BYDem'!B24</f>
        <v>COM_PROJ</v>
      </c>
      <c r="C113" s="22" t="str">
        <f>'[5]TS BYDem'!C24</f>
        <v>-</v>
      </c>
      <c r="D113" s="22" t="str">
        <f>'[5]TS BYDem'!D24</f>
        <v>RMEH</v>
      </c>
      <c r="E113" s="111" t="s">
        <v>137</v>
      </c>
      <c r="F113" s="111" t="s">
        <v>137</v>
      </c>
      <c r="G113" s="111" t="s">
        <v>137</v>
      </c>
      <c r="H113" s="111" t="s">
        <v>137</v>
      </c>
      <c r="I113" s="111">
        <v>0</v>
      </c>
      <c r="J113" s="186">
        <f>'[5]TS BYDem'!J24</f>
        <v>13.162628870539544</v>
      </c>
      <c r="K113" s="24">
        <f t="shared" si="55"/>
        <v>13.094413910887344</v>
      </c>
      <c r="L113" s="24">
        <f t="shared" si="55"/>
        <v>13.026198951235143</v>
      </c>
      <c r="M113" s="24">
        <f t="shared" si="55"/>
        <v>12.957983991582941</v>
      </c>
      <c r="N113" s="24">
        <f t="shared" si="55"/>
        <v>12.88976903193074</v>
      </c>
      <c r="O113" s="24">
        <f>'[5]TS BYDem'!O24</f>
        <v>12.821554072278539</v>
      </c>
      <c r="P113" s="24">
        <f t="shared" ref="P113:AP113" ca="1" si="72">IF($E$78=1, P90,P82)</f>
        <v>13.168058852120426</v>
      </c>
      <c r="Q113" s="24">
        <f t="shared" ca="1" si="72"/>
        <v>13.509052100026246</v>
      </c>
      <c r="R113" s="24">
        <f t="shared" ca="1" si="72"/>
        <v>14.231629301713678</v>
      </c>
      <c r="S113" s="24">
        <f t="shared" ca="1" si="72"/>
        <v>13.642474837415934</v>
      </c>
      <c r="T113" s="24">
        <f t="shared" ca="1" si="72"/>
        <v>13.897341836418063</v>
      </c>
      <c r="U113" s="24">
        <f t="shared" ca="1" si="72"/>
        <v>14.136523289515972</v>
      </c>
      <c r="V113" s="24">
        <f t="shared" ca="1" si="72"/>
        <v>14.398255812838032</v>
      </c>
      <c r="W113" s="24">
        <f t="shared" ca="1" si="72"/>
        <v>14.658599806417945</v>
      </c>
      <c r="X113" s="24">
        <f t="shared" ca="1" si="72"/>
        <v>14.86765512340499</v>
      </c>
      <c r="Y113" s="24">
        <f t="shared" ca="1" si="72"/>
        <v>15.117842598786636</v>
      </c>
      <c r="Z113" s="24">
        <f t="shared" ca="1" si="72"/>
        <v>15.361230517814377</v>
      </c>
      <c r="AA113" s="24">
        <f t="shared" ca="1" si="72"/>
        <v>15.595907814895273</v>
      </c>
      <c r="AB113" s="24">
        <f t="shared" ca="1" si="72"/>
        <v>15.874092146565763</v>
      </c>
      <c r="AC113" s="24">
        <f t="shared" ca="1" si="72"/>
        <v>16.089562553079762</v>
      </c>
      <c r="AD113" s="24">
        <f t="shared" ca="1" si="72"/>
        <v>16.354009223234911</v>
      </c>
      <c r="AE113" s="24">
        <f t="shared" ca="1" si="72"/>
        <v>16.589536103347768</v>
      </c>
      <c r="AF113" s="24">
        <f t="shared" ca="1" si="72"/>
        <v>16.836941153344544</v>
      </c>
      <c r="AG113" s="24">
        <f t="shared" ca="1" si="72"/>
        <v>17.087995994241048</v>
      </c>
      <c r="AH113" s="24">
        <f t="shared" ca="1" si="72"/>
        <v>17.334016216315554</v>
      </c>
      <c r="AI113" s="24">
        <f t="shared" ca="1" si="72"/>
        <v>17.570565096296246</v>
      </c>
      <c r="AJ113" s="24">
        <f t="shared" ca="1" si="72"/>
        <v>17.81413199073139</v>
      </c>
      <c r="AK113" s="24">
        <f t="shared" ca="1" si="72"/>
        <v>18.051438122326349</v>
      </c>
      <c r="AL113" s="24">
        <f t="shared" ca="1" si="72"/>
        <v>18.288003129946812</v>
      </c>
      <c r="AM113" s="24">
        <f t="shared" ca="1" si="72"/>
        <v>19.290599360347493</v>
      </c>
      <c r="AN113" s="24">
        <f t="shared" ca="1" si="72"/>
        <v>20.250906218699033</v>
      </c>
      <c r="AO113" s="24">
        <f t="shared" ca="1" si="72"/>
        <v>20.250906218699033</v>
      </c>
      <c r="AP113" s="24">
        <f t="shared" ca="1" si="72"/>
        <v>20.250906218699033</v>
      </c>
      <c r="AQ113" s="186"/>
      <c r="AR113" s="186"/>
      <c r="AS113" s="186"/>
      <c r="AT113" s="186"/>
      <c r="AU113" s="186"/>
      <c r="AV113" s="186"/>
      <c r="BB113" s="315">
        <f t="shared" si="71"/>
        <v>2</v>
      </c>
    </row>
    <row r="114" spans="1:54">
      <c r="A114" s="22" t="str">
        <f>'[5]TS BYDem'!A25</f>
        <v/>
      </c>
      <c r="B114" s="22" t="str">
        <f>'[5]TS BYDem'!B25</f>
        <v>COM_PROJ</v>
      </c>
      <c r="C114" s="22" t="str">
        <f>'[5]TS BYDem'!C25</f>
        <v>-</v>
      </c>
      <c r="D114" s="22" t="str">
        <f>'[5]TS BYDem'!D25</f>
        <v>RMEWG</v>
      </c>
      <c r="E114" s="111" t="s">
        <v>137</v>
      </c>
      <c r="F114" s="111" t="s">
        <v>137</v>
      </c>
      <c r="G114" s="111" t="s">
        <v>137</v>
      </c>
      <c r="H114" s="111" t="s">
        <v>137</v>
      </c>
      <c r="I114" s="111">
        <v>0</v>
      </c>
      <c r="J114" s="186">
        <f>'[5]TS BYDem'!J25</f>
        <v>8.7188154069192709</v>
      </c>
      <c r="K114" s="24">
        <f t="shared" si="55"/>
        <v>9.2405614732838561</v>
      </c>
      <c r="L114" s="24">
        <f t="shared" si="55"/>
        <v>9.7623075396484413</v>
      </c>
      <c r="M114" s="24">
        <f t="shared" si="55"/>
        <v>10.284053606013025</v>
      </c>
      <c r="N114" s="24">
        <f t="shared" si="55"/>
        <v>10.80579967237761</v>
      </c>
      <c r="O114" s="24">
        <f>'[5]TS BYDem'!O25</f>
        <v>11.327545738742195</v>
      </c>
      <c r="P114" s="24">
        <f t="shared" ref="P114:AP114" ca="1" si="73">OFFSET(P$33,$BB114,$J$96)/OFFSET(O$33,$BB114,$J$96)*O114</f>
        <v>11.633674677576382</v>
      </c>
      <c r="Q114" s="24">
        <f t="shared" ca="1" si="73"/>
        <v>11.934934305736965</v>
      </c>
      <c r="R114" s="24">
        <f t="shared" ca="1" si="73"/>
        <v>12.573314509552006</v>
      </c>
      <c r="S114" s="24">
        <f t="shared" ca="1" si="73"/>
        <v>12.052810200644087</v>
      </c>
      <c r="T114" s="24">
        <f t="shared" ca="1" si="73"/>
        <v>12.277979284845399</v>
      </c>
      <c r="U114" s="24">
        <f t="shared" ca="1" si="73"/>
        <v>12.489290552929761</v>
      </c>
      <c r="V114" s="24">
        <f t="shared" ca="1" si="73"/>
        <v>12.720525168681778</v>
      </c>
      <c r="W114" s="24">
        <f t="shared" ca="1" si="73"/>
        <v>12.950533050601445</v>
      </c>
      <c r="X114" s="24">
        <f t="shared" ca="1" si="73"/>
        <v>13.135228575944822</v>
      </c>
      <c r="Y114" s="24">
        <f t="shared" ca="1" si="73"/>
        <v>13.356263409528173</v>
      </c>
      <c r="Z114" s="24">
        <f t="shared" ca="1" si="73"/>
        <v>13.571290992729253</v>
      </c>
      <c r="AA114" s="24">
        <f t="shared" ca="1" si="73"/>
        <v>13.778622943407196</v>
      </c>
      <c r="AB114" s="24">
        <f t="shared" ca="1" si="73"/>
        <v>14.024392350378852</v>
      </c>
      <c r="AC114" s="24">
        <f t="shared" ca="1" si="73"/>
        <v>14.214755458577244</v>
      </c>
      <c r="AD114" s="24">
        <f t="shared" ca="1" si="73"/>
        <v>14.448387960125332</v>
      </c>
      <c r="AE114" s="24">
        <f t="shared" ca="1" si="73"/>
        <v>14.656470497713345</v>
      </c>
      <c r="AF114" s="24">
        <f t="shared" ca="1" si="73"/>
        <v>14.875047122983252</v>
      </c>
      <c r="AG114" s="24">
        <f t="shared" ca="1" si="73"/>
        <v>15.096848253888005</v>
      </c>
      <c r="AH114" s="24">
        <f t="shared" ca="1" si="73"/>
        <v>15.314201415797591</v>
      </c>
      <c r="AI114" s="24">
        <f t="shared" ca="1" si="73"/>
        <v>15.523186866572463</v>
      </c>
      <c r="AJ114" s="24">
        <f t="shared" ca="1" si="73"/>
        <v>15.73837257039621</v>
      </c>
      <c r="AK114" s="24">
        <f t="shared" ca="1" si="73"/>
        <v>15.948027035414443</v>
      </c>
      <c r="AL114" s="24">
        <f t="shared" ca="1" si="73"/>
        <v>16.157026734585113</v>
      </c>
      <c r="AM114" s="24">
        <f t="shared" ca="1" si="73"/>
        <v>17.042797257669289</v>
      </c>
      <c r="AN114" s="24">
        <f t="shared" ca="1" si="73"/>
        <v>17.891206101081181</v>
      </c>
      <c r="AO114" s="24">
        <f t="shared" ca="1" si="73"/>
        <v>17.891206101081181</v>
      </c>
      <c r="AP114" s="24">
        <f t="shared" ca="1" si="73"/>
        <v>17.891206101081181</v>
      </c>
      <c r="AQ114" s="186"/>
      <c r="AR114" s="186"/>
      <c r="AS114" s="186"/>
      <c r="AT114" s="186"/>
      <c r="AU114" s="186"/>
      <c r="AV114" s="186"/>
      <c r="BB114" s="315">
        <f t="shared" si="71"/>
        <v>2</v>
      </c>
    </row>
    <row r="115" spans="1:54">
      <c r="A115" s="22" t="str">
        <f>'[5]TS BYDem'!A26</f>
        <v/>
      </c>
      <c r="B115" s="22" t="str">
        <f>'[5]TS BYDem'!B26</f>
        <v>COM_PROJ</v>
      </c>
      <c r="C115" s="22" t="str">
        <f>'[5]TS BYDem'!C26</f>
        <v>-</v>
      </c>
      <c r="D115" s="22" t="str">
        <f>'[5]TS BYDem'!D26</f>
        <v>RMEW</v>
      </c>
      <c r="E115" s="111" t="s">
        <v>137</v>
      </c>
      <c r="F115" s="111" t="s">
        <v>137</v>
      </c>
      <c r="G115" s="111" t="s">
        <v>137</v>
      </c>
      <c r="H115" s="111" t="s">
        <v>137</v>
      </c>
      <c r="I115" s="111">
        <v>0</v>
      </c>
      <c r="J115" s="186">
        <f>'[5]TS BYDem'!J26</f>
        <v>6.0852758810873713</v>
      </c>
      <c r="K115" s="24">
        <f t="shared" si="55"/>
        <v>5.8917973817997336</v>
      </c>
      <c r="L115" s="24">
        <f t="shared" si="55"/>
        <v>5.6983188825120958</v>
      </c>
      <c r="M115" s="24">
        <f t="shared" si="55"/>
        <v>5.5048403832244572</v>
      </c>
      <c r="N115" s="24">
        <f t="shared" si="55"/>
        <v>5.3113618839368195</v>
      </c>
      <c r="O115" s="24">
        <f>'[5]TS BYDem'!O26</f>
        <v>5.1178833846491818</v>
      </c>
      <c r="P115" s="24">
        <f t="shared" ref="P115:AP115" ca="1" si="74">OFFSET(P$33,$BB115,$J$96)/OFFSET(O$33,$BB115,$J$96)*O115</f>
        <v>5.2561950936243456</v>
      </c>
      <c r="Q115" s="24">
        <f t="shared" ca="1" si="74"/>
        <v>5.3923068058159256</v>
      </c>
      <c r="R115" s="24">
        <f t="shared" ca="1" si="74"/>
        <v>5.6807325172230936</v>
      </c>
      <c r="S115" s="24">
        <f t="shared" ca="1" si="74"/>
        <v>5.4455641572236981</v>
      </c>
      <c r="T115" s="24">
        <f t="shared" ca="1" si="74"/>
        <v>5.5472975018818618</v>
      </c>
      <c r="U115" s="24">
        <f t="shared" ca="1" si="74"/>
        <v>5.6427697650588096</v>
      </c>
      <c r="V115" s="24">
        <f t="shared" ca="1" si="74"/>
        <v>5.7472435694651285</v>
      </c>
      <c r="W115" s="24">
        <f t="shared" ca="1" si="74"/>
        <v>5.8511631248891192</v>
      </c>
      <c r="X115" s="24">
        <f t="shared" ca="1" si="74"/>
        <v>5.9346101647135532</v>
      </c>
      <c r="Y115" s="24">
        <f t="shared" ca="1" si="74"/>
        <v>6.0344756190948958</v>
      </c>
      <c r="Z115" s="24">
        <f t="shared" ca="1" si="74"/>
        <v>6.1316269456653298</v>
      </c>
      <c r="AA115" s="24">
        <f t="shared" ca="1" si="74"/>
        <v>6.2253013187338402</v>
      </c>
      <c r="AB115" s="24">
        <f t="shared" ca="1" si="74"/>
        <v>6.3363420678427449</v>
      </c>
      <c r="AC115" s="24">
        <f t="shared" ca="1" si="74"/>
        <v>6.422349770744054</v>
      </c>
      <c r="AD115" s="24">
        <f t="shared" ca="1" si="74"/>
        <v>6.5279069607448381</v>
      </c>
      <c r="AE115" s="24">
        <f t="shared" ca="1" si="74"/>
        <v>6.6219204554875732</v>
      </c>
      <c r="AF115" s="24">
        <f t="shared" ca="1" si="74"/>
        <v>6.7206752700380523</v>
      </c>
      <c r="AG115" s="24">
        <f t="shared" ca="1" si="74"/>
        <v>6.8208869441936821</v>
      </c>
      <c r="AH115" s="24">
        <f t="shared" ca="1" si="74"/>
        <v>6.9190889873894532</v>
      </c>
      <c r="AI115" s="24">
        <f t="shared" ca="1" si="74"/>
        <v>7.0135104261390708</v>
      </c>
      <c r="AJ115" s="24">
        <f t="shared" ca="1" si="74"/>
        <v>7.1107331929778725</v>
      </c>
      <c r="AK115" s="24">
        <f t="shared" ca="1" si="74"/>
        <v>7.2054568981635878</v>
      </c>
      <c r="AL115" s="24">
        <f t="shared" ca="1" si="74"/>
        <v>7.2998847744619733</v>
      </c>
      <c r="AM115" s="24">
        <f t="shared" ca="1" si="74"/>
        <v>7.7000835772087974</v>
      </c>
      <c r="AN115" s="24">
        <f t="shared" ca="1" si="74"/>
        <v>8.0834020491207283</v>
      </c>
      <c r="AO115" s="24">
        <f t="shared" ca="1" si="74"/>
        <v>8.0834020491207283</v>
      </c>
      <c r="AP115" s="24">
        <f t="shared" ca="1" si="74"/>
        <v>8.0834020491207283</v>
      </c>
      <c r="AQ115" s="186"/>
      <c r="AR115" s="186"/>
      <c r="AS115" s="186"/>
      <c r="AT115" s="186"/>
      <c r="AU115" s="186"/>
      <c r="AV115" s="186"/>
      <c r="BB115" s="315">
        <f t="shared" si="71"/>
        <v>2</v>
      </c>
    </row>
    <row r="116" spans="1:54">
      <c r="A116" s="22" t="str">
        <f>'[5]TS BYDem'!A27</f>
        <v/>
      </c>
      <c r="B116" s="22" t="str">
        <f>'[5]TS BYDem'!B27</f>
        <v>COM_PROJ</v>
      </c>
      <c r="C116" s="22" t="str">
        <f>'[5]TS BYDem'!C27</f>
        <v>-</v>
      </c>
      <c r="D116" s="22" t="str">
        <f>'[5]TS BYDem'!D27</f>
        <v>RMER</v>
      </c>
      <c r="E116" s="111" t="s">
        <v>137</v>
      </c>
      <c r="F116" s="111" t="s">
        <v>137</v>
      </c>
      <c r="G116" s="111" t="s">
        <v>137</v>
      </c>
      <c r="H116" s="111" t="s">
        <v>137</v>
      </c>
      <c r="I116" s="111">
        <v>0</v>
      </c>
      <c r="J116" s="186">
        <f>'[5]TS BYDem'!J27</f>
        <v>3.2557540936677181</v>
      </c>
      <c r="K116" s="24">
        <f t="shared" si="55"/>
        <v>3.5369252230832862</v>
      </c>
      <c r="L116" s="24">
        <f t="shared" si="55"/>
        <v>3.8180963524988547</v>
      </c>
      <c r="M116" s="24">
        <f t="shared" si="55"/>
        <v>4.0992674819144233</v>
      </c>
      <c r="N116" s="24">
        <f t="shared" si="55"/>
        <v>4.3804386113299909</v>
      </c>
      <c r="O116" s="24">
        <f>'[5]TS BYDem'!O27</f>
        <v>4.6616097407455594</v>
      </c>
      <c r="P116" s="24">
        <f t="shared" ref="P116:AP116" ca="1" si="75">OFFSET(P$33,$BB116,$J$96)/OFFSET(O$33,$BB116,$J$96)*O116</f>
        <v>4.7875905733201538</v>
      </c>
      <c r="Q116" s="24">
        <f t="shared" ca="1" si="75"/>
        <v>4.911567544988749</v>
      </c>
      <c r="R116" s="24">
        <f t="shared" ca="1" si="75"/>
        <v>5.174279296063415</v>
      </c>
      <c r="S116" s="24">
        <f t="shared" ca="1" si="75"/>
        <v>4.9600768542929519</v>
      </c>
      <c r="T116" s="24">
        <f t="shared" ca="1" si="75"/>
        <v>5.0527403862209326</v>
      </c>
      <c r="U116" s="24">
        <f t="shared" ca="1" si="75"/>
        <v>5.139701029625118</v>
      </c>
      <c r="V116" s="24">
        <f t="shared" ca="1" si="75"/>
        <v>5.2348607016360162</v>
      </c>
      <c r="W116" s="24">
        <f t="shared" ca="1" si="75"/>
        <v>5.329515537514351</v>
      </c>
      <c r="X116" s="24">
        <f t="shared" ca="1" si="75"/>
        <v>5.4055230399222296</v>
      </c>
      <c r="Y116" s="24">
        <f t="shared" ca="1" si="75"/>
        <v>5.4964852092253427</v>
      </c>
      <c r="Z116" s="24">
        <f t="shared" ca="1" si="75"/>
        <v>5.5849752228167979</v>
      </c>
      <c r="AA116" s="24">
        <f t="shared" ca="1" si="75"/>
        <v>5.6702982630533496</v>
      </c>
      <c r="AB116" s="24">
        <f t="shared" ca="1" si="75"/>
        <v>5.7714394182462083</v>
      </c>
      <c r="AC116" s="24">
        <f t="shared" ca="1" si="75"/>
        <v>5.8497792934427544</v>
      </c>
      <c r="AD116" s="24">
        <f t="shared" ca="1" si="75"/>
        <v>5.9459257641867564</v>
      </c>
      <c r="AE116" s="24">
        <f t="shared" ca="1" si="75"/>
        <v>6.0315576924500665</v>
      </c>
      <c r="AF116" s="24">
        <f t="shared" ca="1" si="75"/>
        <v>6.1215082385752178</v>
      </c>
      <c r="AG116" s="24">
        <f t="shared" ca="1" si="75"/>
        <v>6.2127857611896431</v>
      </c>
      <c r="AH116" s="24">
        <f t="shared" ca="1" si="75"/>
        <v>6.3022328170752084</v>
      </c>
      <c r="AI116" s="24">
        <f t="shared" ca="1" si="75"/>
        <v>6.3882363199941397</v>
      </c>
      <c r="AJ116" s="24">
        <f t="shared" ca="1" si="75"/>
        <v>6.4767914047538646</v>
      </c>
      <c r="AK116" s="24">
        <f t="shared" ca="1" si="75"/>
        <v>6.5630702262091738</v>
      </c>
      <c r="AL116" s="24">
        <f t="shared" ca="1" si="75"/>
        <v>6.6490795927513631</v>
      </c>
      <c r="AM116" s="24">
        <f t="shared" ca="1" si="75"/>
        <v>7.0135995508877649</v>
      </c>
      <c r="AN116" s="24">
        <f t="shared" ca="1" si="75"/>
        <v>7.3627441069814061</v>
      </c>
      <c r="AO116" s="24">
        <f t="shared" ca="1" si="75"/>
        <v>7.3627441069814061</v>
      </c>
      <c r="AP116" s="24">
        <f t="shared" ca="1" si="75"/>
        <v>7.3627441069814061</v>
      </c>
      <c r="AQ116" s="186"/>
      <c r="AR116" s="186"/>
      <c r="AS116" s="186"/>
      <c r="AT116" s="186"/>
      <c r="AU116" s="186"/>
      <c r="AV116" s="186"/>
      <c r="BB116" s="315">
        <f t="shared" si="71"/>
        <v>2</v>
      </c>
    </row>
    <row r="117" spans="1:54">
      <c r="A117" s="22" t="str">
        <f>'[5]TS BYDem'!A28</f>
        <v/>
      </c>
      <c r="B117" s="22" t="str">
        <f>'[5]TS BYDem'!B28</f>
        <v>COM_PROJ</v>
      </c>
      <c r="C117" s="22" t="str">
        <f>'[5]TS BYDem'!C28</f>
        <v>-</v>
      </c>
      <c r="D117" s="22" t="str">
        <f>'[5]TS BYDem'!D28</f>
        <v>RMEO</v>
      </c>
      <c r="E117" s="111" t="s">
        <v>137</v>
      </c>
      <c r="F117" s="111" t="s">
        <v>137</v>
      </c>
      <c r="G117" s="111" t="s">
        <v>137</v>
      </c>
      <c r="H117" s="111" t="s">
        <v>137</v>
      </c>
      <c r="I117" s="111">
        <v>0</v>
      </c>
      <c r="J117" s="186">
        <f>'[5]TS BYDem'!J28</f>
        <v>5.8181446629629967</v>
      </c>
      <c r="K117" s="24">
        <f t="shared" si="55"/>
        <v>6.4084282360981142</v>
      </c>
      <c r="L117" s="24">
        <f t="shared" si="55"/>
        <v>6.9987118092332326</v>
      </c>
      <c r="M117" s="24">
        <f t="shared" si="55"/>
        <v>7.58899538236835</v>
      </c>
      <c r="N117" s="24">
        <f t="shared" si="55"/>
        <v>8.1792789555034684</v>
      </c>
      <c r="O117" s="24">
        <f>'[5]TS BYDem'!O28</f>
        <v>8.7695625286385859</v>
      </c>
      <c r="P117" s="24">
        <f t="shared" ref="P117:AP117" ca="1" si="76">IF($E$78=1, P92,P84)</f>
        <v>9.006561516137733</v>
      </c>
      <c r="Q117" s="24">
        <f t="shared" ca="1" si="76"/>
        <v>9.2397907793375111</v>
      </c>
      <c r="R117" s="24">
        <f t="shared" ca="1" si="76"/>
        <v>9.7340121440991485</v>
      </c>
      <c r="S117" s="24">
        <f t="shared" ca="1" si="76"/>
        <v>9.331047972629765</v>
      </c>
      <c r="T117" s="24">
        <f t="shared" ca="1" si="76"/>
        <v>9.5053694372225852</v>
      </c>
      <c r="U117" s="24">
        <f t="shared" ca="1" si="76"/>
        <v>9.6689624538575814</v>
      </c>
      <c r="V117" s="24">
        <f t="shared" ca="1" si="76"/>
        <v>9.8479797333630188</v>
      </c>
      <c r="W117" s="24">
        <f t="shared" ca="1" si="76"/>
        <v>10.026047299726976</v>
      </c>
      <c r="X117" s="24">
        <f t="shared" ca="1" si="76"/>
        <v>10.169034933201617</v>
      </c>
      <c r="Y117" s="24">
        <f t="shared" ca="1" si="76"/>
        <v>10.340155742494563</v>
      </c>
      <c r="Z117" s="24">
        <f t="shared" ca="1" si="76"/>
        <v>10.506625857006172</v>
      </c>
      <c r="AA117" s="24">
        <f t="shared" ca="1" si="76"/>
        <v>10.667138164578345</v>
      </c>
      <c r="AB117" s="24">
        <f t="shared" ca="1" si="76"/>
        <v>10.857407992815974</v>
      </c>
      <c r="AC117" s="24">
        <f t="shared" ca="1" si="76"/>
        <v>11.004783357170686</v>
      </c>
      <c r="AD117" s="24">
        <f t="shared" ca="1" si="76"/>
        <v>11.185657032572479</v>
      </c>
      <c r="AE117" s="24">
        <f t="shared" ca="1" si="76"/>
        <v>11.346750429728647</v>
      </c>
      <c r="AF117" s="24">
        <f t="shared" ca="1" si="76"/>
        <v>11.515968142621864</v>
      </c>
      <c r="AG117" s="24">
        <f t="shared" ca="1" si="76"/>
        <v>11.687682204189446</v>
      </c>
      <c r="AH117" s="24">
        <f t="shared" ca="1" si="76"/>
        <v>11.855952735876134</v>
      </c>
      <c r="AI117" s="24">
        <f t="shared" ca="1" si="76"/>
        <v>12.017745150615873</v>
      </c>
      <c r="AJ117" s="24">
        <f t="shared" ca="1" si="76"/>
        <v>12.184337678995369</v>
      </c>
      <c r="AK117" s="24">
        <f t="shared" ca="1" si="76"/>
        <v>12.346648031369176</v>
      </c>
      <c r="AL117" s="24">
        <f t="shared" ca="1" si="76"/>
        <v>12.508451476935962</v>
      </c>
      <c r="AM117" s="24">
        <f t="shared" ca="1" si="76"/>
        <v>13.194197548271104</v>
      </c>
      <c r="AN117" s="24">
        <f t="shared" ca="1" si="76"/>
        <v>13.851018943986492</v>
      </c>
      <c r="AO117" s="24">
        <f t="shared" ca="1" si="76"/>
        <v>13.851018943986492</v>
      </c>
      <c r="AP117" s="24">
        <f t="shared" ca="1" si="76"/>
        <v>13.851018943986492</v>
      </c>
      <c r="AQ117" s="186"/>
      <c r="AR117" s="186"/>
      <c r="AS117" s="186"/>
      <c r="AT117" s="186"/>
      <c r="AU117" s="186"/>
      <c r="AV117" s="186"/>
      <c r="BB117" s="315">
        <f t="shared" si="71"/>
        <v>2</v>
      </c>
    </row>
    <row r="118" spans="1:54">
      <c r="A118" s="22" t="str">
        <f>'[5]TS BYDem'!A29</f>
        <v>*</v>
      </c>
      <c r="B118" s="22" t="str">
        <f>'[5]TS BYDem'!B29</f>
        <v>COM_PROJ</v>
      </c>
      <c r="C118" s="22" t="str">
        <f>'[5]TS BYDem'!C29</f>
        <v>-</v>
      </c>
      <c r="D118" s="22">
        <f>'[5]TS BYDem'!D29</f>
        <v>0</v>
      </c>
      <c r="E118" s="111" t="s">
        <v>137</v>
      </c>
      <c r="F118" s="111" t="s">
        <v>137</v>
      </c>
      <c r="G118" s="111" t="s">
        <v>137</v>
      </c>
      <c r="H118" s="111" t="s">
        <v>137</v>
      </c>
      <c r="I118" s="111">
        <v>0</v>
      </c>
      <c r="J118" s="186">
        <f>'[5]TS BYDem'!J29</f>
        <v>0</v>
      </c>
      <c r="K118" s="24">
        <f t="shared" si="55"/>
        <v>0</v>
      </c>
      <c r="L118" s="24">
        <f t="shared" si="55"/>
        <v>0</v>
      </c>
      <c r="M118" s="24">
        <f t="shared" si="55"/>
        <v>0</v>
      </c>
      <c r="N118" s="24">
        <f t="shared" si="55"/>
        <v>0</v>
      </c>
      <c r="O118" s="24">
        <f>'[5]TS BYDem'!O29</f>
        <v>0</v>
      </c>
      <c r="P118" s="24" t="e">
        <f t="shared" ref="P118:AP118" ca="1" si="77">OFFSET(P$33,$BB118,$J$96)/OFFSET(O$33,$BB118,$J$96)*O118</f>
        <v>#N/A</v>
      </c>
      <c r="Q118" s="24" t="e">
        <f t="shared" ca="1" si="77"/>
        <v>#N/A</v>
      </c>
      <c r="R118" s="24" t="e">
        <f t="shared" ca="1" si="77"/>
        <v>#N/A</v>
      </c>
      <c r="S118" s="24" t="e">
        <f t="shared" ca="1" si="77"/>
        <v>#N/A</v>
      </c>
      <c r="T118" s="24" t="e">
        <f t="shared" ca="1" si="77"/>
        <v>#N/A</v>
      </c>
      <c r="U118" s="24" t="e">
        <f t="shared" ca="1" si="77"/>
        <v>#N/A</v>
      </c>
      <c r="V118" s="24" t="e">
        <f t="shared" ca="1" si="77"/>
        <v>#N/A</v>
      </c>
      <c r="W118" s="24" t="e">
        <f t="shared" ca="1" si="77"/>
        <v>#N/A</v>
      </c>
      <c r="X118" s="24" t="e">
        <f t="shared" ca="1" si="77"/>
        <v>#N/A</v>
      </c>
      <c r="Y118" s="24" t="e">
        <f t="shared" ca="1" si="77"/>
        <v>#N/A</v>
      </c>
      <c r="Z118" s="24" t="e">
        <f t="shared" ca="1" si="77"/>
        <v>#N/A</v>
      </c>
      <c r="AA118" s="24" t="e">
        <f t="shared" ca="1" si="77"/>
        <v>#N/A</v>
      </c>
      <c r="AB118" s="24" t="e">
        <f t="shared" ca="1" si="77"/>
        <v>#N/A</v>
      </c>
      <c r="AC118" s="24" t="e">
        <f t="shared" ca="1" si="77"/>
        <v>#N/A</v>
      </c>
      <c r="AD118" s="24" t="e">
        <f t="shared" ca="1" si="77"/>
        <v>#N/A</v>
      </c>
      <c r="AE118" s="24" t="e">
        <f t="shared" ca="1" si="77"/>
        <v>#N/A</v>
      </c>
      <c r="AF118" s="24" t="e">
        <f t="shared" ca="1" si="77"/>
        <v>#N/A</v>
      </c>
      <c r="AG118" s="24" t="e">
        <f t="shared" ca="1" si="77"/>
        <v>#N/A</v>
      </c>
      <c r="AH118" s="24" t="e">
        <f t="shared" ca="1" si="77"/>
        <v>#N/A</v>
      </c>
      <c r="AI118" s="24" t="e">
        <f t="shared" ca="1" si="77"/>
        <v>#N/A</v>
      </c>
      <c r="AJ118" s="24" t="e">
        <f t="shared" ca="1" si="77"/>
        <v>#N/A</v>
      </c>
      <c r="AK118" s="24" t="e">
        <f t="shared" ca="1" si="77"/>
        <v>#N/A</v>
      </c>
      <c r="AL118" s="24" t="e">
        <f t="shared" ca="1" si="77"/>
        <v>#N/A</v>
      </c>
      <c r="AM118" s="24" t="e">
        <f t="shared" ca="1" si="77"/>
        <v>#N/A</v>
      </c>
      <c r="AN118" s="24" t="e">
        <f t="shared" ca="1" si="77"/>
        <v>#N/A</v>
      </c>
      <c r="AO118" s="24" t="e">
        <f t="shared" ca="1" si="77"/>
        <v>#N/A</v>
      </c>
      <c r="AP118" s="24" t="e">
        <f t="shared" ca="1" si="77"/>
        <v>#N/A</v>
      </c>
      <c r="AQ118" s="186"/>
      <c r="AR118" s="186"/>
      <c r="AS118" s="186"/>
      <c r="AT118" s="186"/>
      <c r="AU118" s="186"/>
      <c r="AV118" s="186"/>
      <c r="BB118" s="315" t="e">
        <f t="shared" si="71"/>
        <v>#N/A</v>
      </c>
    </row>
    <row r="119" spans="1:54">
      <c r="A119" s="22" t="str">
        <f>'[5]TS BYDem'!A30</f>
        <v>*</v>
      </c>
      <c r="B119" s="22" t="str">
        <f>'[5]TS BYDem'!B30</f>
        <v>COM_PROJ</v>
      </c>
      <c r="C119" s="22" t="str">
        <f>'[5]TS BYDem'!C30</f>
        <v>-</v>
      </c>
      <c r="D119" s="22">
        <f>'[5]TS BYDem'!D30</f>
        <v>0</v>
      </c>
      <c r="E119" s="111" t="s">
        <v>137</v>
      </c>
      <c r="F119" s="111" t="s">
        <v>137</v>
      </c>
      <c r="G119" s="111" t="s">
        <v>137</v>
      </c>
      <c r="H119" s="111" t="s">
        <v>137</v>
      </c>
      <c r="I119" s="111">
        <v>0</v>
      </c>
      <c r="J119" s="186">
        <f>'[5]TS BYDem'!J30</f>
        <v>0</v>
      </c>
      <c r="K119" s="24">
        <f t="shared" si="55"/>
        <v>0</v>
      </c>
      <c r="L119" s="24">
        <f t="shared" si="55"/>
        <v>0</v>
      </c>
      <c r="M119" s="24">
        <f t="shared" si="55"/>
        <v>0</v>
      </c>
      <c r="N119" s="24">
        <f t="shared" si="55"/>
        <v>0</v>
      </c>
      <c r="O119" s="24">
        <f>'[5]TS BYDem'!O30</f>
        <v>0</v>
      </c>
      <c r="P119" s="24" t="e">
        <f t="shared" ref="P119:AP119" ca="1" si="78">OFFSET(P$33,$BB119,$J$96)/OFFSET(O$33,$BB119,$J$96)*O119</f>
        <v>#N/A</v>
      </c>
      <c r="Q119" s="24" t="e">
        <f t="shared" ca="1" si="78"/>
        <v>#N/A</v>
      </c>
      <c r="R119" s="24" t="e">
        <f t="shared" ca="1" si="78"/>
        <v>#N/A</v>
      </c>
      <c r="S119" s="24" t="e">
        <f t="shared" ca="1" si="78"/>
        <v>#N/A</v>
      </c>
      <c r="T119" s="24" t="e">
        <f t="shared" ca="1" si="78"/>
        <v>#N/A</v>
      </c>
      <c r="U119" s="24" t="e">
        <f t="shared" ca="1" si="78"/>
        <v>#N/A</v>
      </c>
      <c r="V119" s="24" t="e">
        <f t="shared" ca="1" si="78"/>
        <v>#N/A</v>
      </c>
      <c r="W119" s="24" t="e">
        <f t="shared" ca="1" si="78"/>
        <v>#N/A</v>
      </c>
      <c r="X119" s="24" t="e">
        <f t="shared" ca="1" si="78"/>
        <v>#N/A</v>
      </c>
      <c r="Y119" s="24" t="e">
        <f t="shared" ca="1" si="78"/>
        <v>#N/A</v>
      </c>
      <c r="Z119" s="24" t="e">
        <f t="shared" ca="1" si="78"/>
        <v>#N/A</v>
      </c>
      <c r="AA119" s="24" t="e">
        <f t="shared" ca="1" si="78"/>
        <v>#N/A</v>
      </c>
      <c r="AB119" s="24" t="e">
        <f t="shared" ca="1" si="78"/>
        <v>#N/A</v>
      </c>
      <c r="AC119" s="24" t="e">
        <f t="shared" ca="1" si="78"/>
        <v>#N/A</v>
      </c>
      <c r="AD119" s="24" t="e">
        <f t="shared" ca="1" si="78"/>
        <v>#N/A</v>
      </c>
      <c r="AE119" s="24" t="e">
        <f t="shared" ca="1" si="78"/>
        <v>#N/A</v>
      </c>
      <c r="AF119" s="24" t="e">
        <f t="shared" ca="1" si="78"/>
        <v>#N/A</v>
      </c>
      <c r="AG119" s="24" t="e">
        <f t="shared" ca="1" si="78"/>
        <v>#N/A</v>
      </c>
      <c r="AH119" s="24" t="e">
        <f t="shared" ca="1" si="78"/>
        <v>#N/A</v>
      </c>
      <c r="AI119" s="24" t="e">
        <f t="shared" ca="1" si="78"/>
        <v>#N/A</v>
      </c>
      <c r="AJ119" s="24" t="e">
        <f t="shared" ca="1" si="78"/>
        <v>#N/A</v>
      </c>
      <c r="AK119" s="24" t="e">
        <f t="shared" ca="1" si="78"/>
        <v>#N/A</v>
      </c>
      <c r="AL119" s="24" t="e">
        <f t="shared" ca="1" si="78"/>
        <v>#N/A</v>
      </c>
      <c r="AM119" s="24" t="e">
        <f t="shared" ca="1" si="78"/>
        <v>#N/A</v>
      </c>
      <c r="AN119" s="24" t="e">
        <f t="shared" ca="1" si="78"/>
        <v>#N/A</v>
      </c>
      <c r="AO119" s="24" t="e">
        <f t="shared" ca="1" si="78"/>
        <v>#N/A</v>
      </c>
      <c r="AP119" s="24" t="e">
        <f t="shared" ca="1" si="78"/>
        <v>#N/A</v>
      </c>
      <c r="AQ119" s="186"/>
      <c r="AR119" s="186"/>
      <c r="AS119" s="186"/>
      <c r="AT119" s="186"/>
      <c r="AU119" s="186"/>
      <c r="AV119" s="186"/>
      <c r="BB119" s="315" t="e">
        <f t="shared" si="71"/>
        <v>#N/A</v>
      </c>
    </row>
    <row r="120" spans="1:54">
      <c r="A120" s="22" t="str">
        <f>'[5]TS BYDem'!A31</f>
        <v>*</v>
      </c>
      <c r="B120" s="22" t="str">
        <f>'[5]TS BYDem'!B31</f>
        <v>COM_PROJ</v>
      </c>
      <c r="C120" s="22" t="str">
        <f>'[5]TS BYDem'!C31</f>
        <v>-</v>
      </c>
      <c r="D120" s="22">
        <f>'[5]TS BYDem'!D31</f>
        <v>0</v>
      </c>
      <c r="E120" s="111" t="s">
        <v>137</v>
      </c>
      <c r="F120" s="111" t="s">
        <v>137</v>
      </c>
      <c r="G120" s="111" t="s">
        <v>137</v>
      </c>
      <c r="H120" s="111" t="s">
        <v>137</v>
      </c>
      <c r="I120" s="111">
        <v>0</v>
      </c>
      <c r="J120" s="186">
        <f>'[5]TS BYDem'!J31</f>
        <v>0</v>
      </c>
      <c r="K120" s="24">
        <f t="shared" si="55"/>
        <v>0</v>
      </c>
      <c r="L120" s="24">
        <f t="shared" si="55"/>
        <v>0</v>
      </c>
      <c r="M120" s="24">
        <f t="shared" si="55"/>
        <v>0</v>
      </c>
      <c r="N120" s="24">
        <f t="shared" si="55"/>
        <v>0</v>
      </c>
      <c r="O120" s="24">
        <f>'[5]TS BYDem'!O31</f>
        <v>0</v>
      </c>
      <c r="P120" s="24" t="e">
        <f t="shared" ref="P120:AP120" ca="1" si="79">OFFSET(P$33,$BB120,$J$96)/OFFSET(O$33,$BB120,$J$96)*O120</f>
        <v>#N/A</v>
      </c>
      <c r="Q120" s="24" t="e">
        <f t="shared" ca="1" si="79"/>
        <v>#N/A</v>
      </c>
      <c r="R120" s="24" t="e">
        <f t="shared" ca="1" si="79"/>
        <v>#N/A</v>
      </c>
      <c r="S120" s="24" t="e">
        <f t="shared" ca="1" si="79"/>
        <v>#N/A</v>
      </c>
      <c r="T120" s="24" t="e">
        <f t="shared" ca="1" si="79"/>
        <v>#N/A</v>
      </c>
      <c r="U120" s="24" t="e">
        <f t="shared" ca="1" si="79"/>
        <v>#N/A</v>
      </c>
      <c r="V120" s="24" t="e">
        <f t="shared" ca="1" si="79"/>
        <v>#N/A</v>
      </c>
      <c r="W120" s="24" t="e">
        <f t="shared" ca="1" si="79"/>
        <v>#N/A</v>
      </c>
      <c r="X120" s="24" t="e">
        <f t="shared" ca="1" si="79"/>
        <v>#N/A</v>
      </c>
      <c r="Y120" s="24" t="e">
        <f t="shared" ca="1" si="79"/>
        <v>#N/A</v>
      </c>
      <c r="Z120" s="24" t="e">
        <f t="shared" ca="1" si="79"/>
        <v>#N/A</v>
      </c>
      <c r="AA120" s="24" t="e">
        <f t="shared" ca="1" si="79"/>
        <v>#N/A</v>
      </c>
      <c r="AB120" s="24" t="e">
        <f t="shared" ca="1" si="79"/>
        <v>#N/A</v>
      </c>
      <c r="AC120" s="24" t="e">
        <f t="shared" ca="1" si="79"/>
        <v>#N/A</v>
      </c>
      <c r="AD120" s="24" t="e">
        <f t="shared" ca="1" si="79"/>
        <v>#N/A</v>
      </c>
      <c r="AE120" s="24" t="e">
        <f t="shared" ca="1" si="79"/>
        <v>#N/A</v>
      </c>
      <c r="AF120" s="24" t="e">
        <f t="shared" ca="1" si="79"/>
        <v>#N/A</v>
      </c>
      <c r="AG120" s="24" t="e">
        <f t="shared" ca="1" si="79"/>
        <v>#N/A</v>
      </c>
      <c r="AH120" s="24" t="e">
        <f t="shared" ca="1" si="79"/>
        <v>#N/A</v>
      </c>
      <c r="AI120" s="24" t="e">
        <f t="shared" ca="1" si="79"/>
        <v>#N/A</v>
      </c>
      <c r="AJ120" s="24" t="e">
        <f t="shared" ca="1" si="79"/>
        <v>#N/A</v>
      </c>
      <c r="AK120" s="24" t="e">
        <f t="shared" ca="1" si="79"/>
        <v>#N/A</v>
      </c>
      <c r="AL120" s="24" t="e">
        <f t="shared" ca="1" si="79"/>
        <v>#N/A</v>
      </c>
      <c r="AM120" s="24" t="e">
        <f t="shared" ca="1" si="79"/>
        <v>#N/A</v>
      </c>
      <c r="AN120" s="24" t="e">
        <f t="shared" ca="1" si="79"/>
        <v>#N/A</v>
      </c>
      <c r="AO120" s="24" t="e">
        <f t="shared" ca="1" si="79"/>
        <v>#N/A</v>
      </c>
      <c r="AP120" s="24" t="e">
        <f t="shared" ca="1" si="79"/>
        <v>#N/A</v>
      </c>
      <c r="AQ120" s="186"/>
      <c r="AR120" s="186"/>
      <c r="AS120" s="186"/>
      <c r="AT120" s="186"/>
      <c r="AU120" s="186"/>
      <c r="AV120" s="186"/>
      <c r="BB120" s="315" t="e">
        <f t="shared" si="71"/>
        <v>#N/A</v>
      </c>
    </row>
    <row r="121" spans="1:54" s="317" customFormat="1">
      <c r="A121" s="321" t="str">
        <f>'[5]TS BYDem'!A32</f>
        <v/>
      </c>
      <c r="B121" s="321" t="str">
        <f>'[5]TS BYDem'!B32</f>
        <v>COM_PROJ</v>
      </c>
      <c r="C121" s="321" t="str">
        <f>'[5]TS BYDem'!C32</f>
        <v>-</v>
      </c>
      <c r="D121" s="321" t="str">
        <f>'[5]TS BYDem'!D32</f>
        <v>RHEL</v>
      </c>
      <c r="E121" s="320" t="s">
        <v>137</v>
      </c>
      <c r="F121" s="320" t="s">
        <v>137</v>
      </c>
      <c r="G121" s="320" t="s">
        <v>137</v>
      </c>
      <c r="H121" s="320" t="s">
        <v>137</v>
      </c>
      <c r="I121" s="320">
        <v>0</v>
      </c>
      <c r="J121" s="318">
        <f>'[5]TS BYDem'!J32</f>
        <v>29.15490908598996</v>
      </c>
      <c r="K121" s="319">
        <f t="shared" si="55"/>
        <v>29.919036883195538</v>
      </c>
      <c r="L121" s="319">
        <f t="shared" si="55"/>
        <v>30.683164680401113</v>
      </c>
      <c r="M121" s="319">
        <f t="shared" si="55"/>
        <v>31.447292477606691</v>
      </c>
      <c r="N121" s="319">
        <f t="shared" si="55"/>
        <v>32.211420274812269</v>
      </c>
      <c r="O121" s="319">
        <f>'[5]TS BYDem'!O32</f>
        <v>32.975548072017844</v>
      </c>
      <c r="P121" s="24">
        <f t="shared" ref="P121:AP121" ca="1" si="80">OFFSET(P$33,$BB121,$J$96)/OFFSET(O$33,$BB121,$J$96)*O121</f>
        <v>34.023354317600244</v>
      </c>
      <c r="Q121" s="24">
        <f t="shared" ca="1" si="80"/>
        <v>34.495377235836116</v>
      </c>
      <c r="R121" s="24">
        <f t="shared" ca="1" si="80"/>
        <v>31.284170601216626</v>
      </c>
      <c r="S121" s="24">
        <f t="shared" ca="1" si="80"/>
        <v>32.09809781910019</v>
      </c>
      <c r="T121" s="24">
        <f t="shared" ca="1" si="80"/>
        <v>33.138898170362921</v>
      </c>
      <c r="U121" s="24">
        <f t="shared" ca="1" si="80"/>
        <v>34.252021169311604</v>
      </c>
      <c r="V121" s="24">
        <f t="shared" ca="1" si="80"/>
        <v>35.325378659187209</v>
      </c>
      <c r="W121" s="24">
        <f t="shared" ca="1" si="80"/>
        <v>36.364482286506075</v>
      </c>
      <c r="X121" s="24">
        <f t="shared" ca="1" si="80"/>
        <v>37.744286567017205</v>
      </c>
      <c r="Y121" s="24">
        <f t="shared" ca="1" si="80"/>
        <v>39.104874720191667</v>
      </c>
      <c r="Z121" s="24">
        <f t="shared" ca="1" si="80"/>
        <v>40.521811620436111</v>
      </c>
      <c r="AA121" s="24">
        <f t="shared" ca="1" si="80"/>
        <v>42.12332346791063</v>
      </c>
      <c r="AB121" s="24">
        <f t="shared" ca="1" si="80"/>
        <v>43.537246820234685</v>
      </c>
      <c r="AC121" s="24">
        <f t="shared" ca="1" si="80"/>
        <v>45.122492425986323</v>
      </c>
      <c r="AD121" s="24">
        <f t="shared" ca="1" si="80"/>
        <v>46.51805430909247</v>
      </c>
      <c r="AE121" s="24">
        <f t="shared" ca="1" si="80"/>
        <v>48.055797532213191</v>
      </c>
      <c r="AF121" s="24">
        <f t="shared" ca="1" si="80"/>
        <v>49.684677197829316</v>
      </c>
      <c r="AG121" s="24">
        <f t="shared" ca="1" si="80"/>
        <v>51.397913617095462</v>
      </c>
      <c r="AH121" s="24">
        <f t="shared" ca="1" si="80"/>
        <v>53.003969001819058</v>
      </c>
      <c r="AI121" s="24">
        <f t="shared" ca="1" si="80"/>
        <v>54.602901431397719</v>
      </c>
      <c r="AJ121" s="24">
        <f t="shared" ca="1" si="80"/>
        <v>56.140716078311677</v>
      </c>
      <c r="AK121" s="24">
        <f t="shared" ca="1" si="80"/>
        <v>57.677179039604802</v>
      </c>
      <c r="AL121" s="24">
        <f t="shared" ca="1" si="80"/>
        <v>59.238916767977422</v>
      </c>
      <c r="AM121" s="24">
        <f t="shared" ca="1" si="80"/>
        <v>67.29623050551335</v>
      </c>
      <c r="AN121" s="24">
        <f t="shared" ca="1" si="80"/>
        <v>74.592123148630179</v>
      </c>
      <c r="AO121" s="24">
        <f t="shared" ca="1" si="80"/>
        <v>74.592123148630179</v>
      </c>
      <c r="AP121" s="24">
        <f t="shared" ca="1" si="80"/>
        <v>74.592123148630179</v>
      </c>
      <c r="AQ121" s="318"/>
      <c r="AR121" s="318"/>
      <c r="AS121" s="318"/>
      <c r="AU121" s="318"/>
      <c r="AV121" s="318"/>
      <c r="BB121" s="317">
        <f t="shared" si="71"/>
        <v>3</v>
      </c>
    </row>
    <row r="122" spans="1:54">
      <c r="A122" s="22" t="str">
        <f>'[5]TS BYDem'!A33</f>
        <v/>
      </c>
      <c r="B122" s="22" t="str">
        <f>'[5]TS BYDem'!B33</f>
        <v>COM_PROJ</v>
      </c>
      <c r="C122" s="22" t="str">
        <f>'[5]TS BYDem'!C33</f>
        <v>-</v>
      </c>
      <c r="D122" s="22" t="str">
        <f>'[5]TS BYDem'!D33</f>
        <v>RHEK</v>
      </c>
      <c r="E122" s="111" t="s">
        <v>137</v>
      </c>
      <c r="F122" s="111" t="s">
        <v>137</v>
      </c>
      <c r="G122" s="111" t="s">
        <v>137</v>
      </c>
      <c r="H122" s="111" t="s">
        <v>137</v>
      </c>
      <c r="I122" s="111">
        <v>0</v>
      </c>
      <c r="J122" s="186">
        <f>'[5]TS BYDem'!J33</f>
        <v>3.8919130042693295</v>
      </c>
      <c r="K122" s="24">
        <f t="shared" si="55"/>
        <v>4.2233553788747606</v>
      </c>
      <c r="L122" s="24">
        <f t="shared" si="55"/>
        <v>4.5547977534801918</v>
      </c>
      <c r="M122" s="24">
        <f t="shared" si="55"/>
        <v>4.886240128085622</v>
      </c>
      <c r="N122" s="24">
        <f t="shared" si="55"/>
        <v>5.2176825026910532</v>
      </c>
      <c r="O122" s="24">
        <f>'[5]TS BYDem'!O33</f>
        <v>5.5491248772964843</v>
      </c>
      <c r="P122" s="24">
        <f t="shared" ref="P122:AP122" ca="1" si="81">OFFSET(P$33,$BB122,$J$96)/OFFSET(O$33,$BB122,$J$96)*O122</f>
        <v>5.7254497011098566</v>
      </c>
      <c r="Q122" s="24">
        <f t="shared" ca="1" si="81"/>
        <v>5.804881712748184</v>
      </c>
      <c r="R122" s="24">
        <f t="shared" ca="1" si="81"/>
        <v>5.2644998945782655</v>
      </c>
      <c r="S122" s="24">
        <f t="shared" ca="1" si="81"/>
        <v>5.4014675581088989</v>
      </c>
      <c r="T122" s="24">
        <f t="shared" ca="1" si="81"/>
        <v>5.5766134301009975</v>
      </c>
      <c r="U122" s="24">
        <f t="shared" ca="1" si="81"/>
        <v>5.7639297564730985</v>
      </c>
      <c r="V122" s="24">
        <f t="shared" ca="1" si="81"/>
        <v>5.9445543434031789</v>
      </c>
      <c r="W122" s="24">
        <f t="shared" ca="1" si="81"/>
        <v>6.1194146907081288</v>
      </c>
      <c r="X122" s="24">
        <f t="shared" ca="1" si="81"/>
        <v>6.3516081402927247</v>
      </c>
      <c r="Y122" s="24">
        <f t="shared" ca="1" si="81"/>
        <v>6.5805679001743833</v>
      </c>
      <c r="Z122" s="24">
        <f t="shared" ca="1" si="81"/>
        <v>6.8190100266110303</v>
      </c>
      <c r="AA122" s="24">
        <f t="shared" ca="1" si="81"/>
        <v>7.0885124231958248</v>
      </c>
      <c r="AB122" s="24">
        <f t="shared" ca="1" si="81"/>
        <v>7.3264474298206208</v>
      </c>
      <c r="AC122" s="24">
        <f t="shared" ca="1" si="81"/>
        <v>7.5932125434220534</v>
      </c>
      <c r="AD122" s="24">
        <f t="shared" ca="1" si="81"/>
        <v>7.8280576822030072</v>
      </c>
      <c r="AE122" s="24">
        <f t="shared" ca="1" si="81"/>
        <v>8.0868290953627557</v>
      </c>
      <c r="AF122" s="24">
        <f t="shared" ca="1" si="81"/>
        <v>8.3609369480920606</v>
      </c>
      <c r="AG122" s="24">
        <f t="shared" ca="1" si="81"/>
        <v>8.6492403544244478</v>
      </c>
      <c r="AH122" s="24">
        <f t="shared" ca="1" si="81"/>
        <v>8.9195073374089802</v>
      </c>
      <c r="AI122" s="24">
        <f t="shared" ca="1" si="81"/>
        <v>9.1885756695778138</v>
      </c>
      <c r="AJ122" s="24">
        <f t="shared" ca="1" si="81"/>
        <v>9.4473591019327259</v>
      </c>
      <c r="AK122" s="24">
        <f t="shared" ca="1" si="81"/>
        <v>9.7059150726458032</v>
      </c>
      <c r="AL122" s="24">
        <f t="shared" ca="1" si="81"/>
        <v>9.968724280893019</v>
      </c>
      <c r="AM122" s="24">
        <f t="shared" ca="1" si="81"/>
        <v>11.324608950572973</v>
      </c>
      <c r="AN122" s="24">
        <f t="shared" ca="1" si="81"/>
        <v>12.552361686617992</v>
      </c>
      <c r="AO122" s="24">
        <f t="shared" ca="1" si="81"/>
        <v>12.552361686617992</v>
      </c>
      <c r="AP122" s="24">
        <f t="shared" ca="1" si="81"/>
        <v>12.552361686617992</v>
      </c>
      <c r="AQ122" s="186"/>
      <c r="AR122" s="186"/>
      <c r="AS122" s="186"/>
      <c r="AU122" s="186"/>
      <c r="AV122" s="186"/>
      <c r="BB122" s="315">
        <f t="shared" si="71"/>
        <v>3</v>
      </c>
    </row>
    <row r="123" spans="1:54">
      <c r="A123" s="22" t="str">
        <f>'[5]TS BYDem'!A34</f>
        <v/>
      </c>
      <c r="B123" s="22" t="str">
        <f>'[5]TS BYDem'!B34</f>
        <v>COM_PROJ</v>
      </c>
      <c r="C123" s="22" t="str">
        <f>'[5]TS BYDem'!C34</f>
        <v>-</v>
      </c>
      <c r="D123" s="22" t="str">
        <f>'[5]TS BYDem'!D34</f>
        <v>RHEH</v>
      </c>
      <c r="E123" s="111" t="s">
        <v>137</v>
      </c>
      <c r="F123" s="111" t="s">
        <v>137</v>
      </c>
      <c r="G123" s="111" t="s">
        <v>137</v>
      </c>
      <c r="H123" s="111" t="s">
        <v>137</v>
      </c>
      <c r="I123" s="111">
        <v>0</v>
      </c>
      <c r="J123" s="186">
        <f>'[5]TS BYDem'!J34</f>
        <v>7.0842557645058601</v>
      </c>
      <c r="K123" s="24">
        <f t="shared" si="55"/>
        <v>7.2302855472935121</v>
      </c>
      <c r="L123" s="24">
        <f t="shared" si="55"/>
        <v>7.3763153300811641</v>
      </c>
      <c r="M123" s="24">
        <f t="shared" si="55"/>
        <v>7.5223451128688161</v>
      </c>
      <c r="N123" s="24">
        <f t="shared" si="55"/>
        <v>7.6683748956564681</v>
      </c>
      <c r="O123" s="24">
        <f>'[5]TS BYDem'!O34</f>
        <v>7.8144046784441201</v>
      </c>
      <c r="P123" s="24">
        <f t="shared" ref="P123:AP123" ca="1" si="82">IF($E$78=1, P91,P83)</f>
        <v>8.0627093316283442</v>
      </c>
      <c r="Q123" s="24">
        <f t="shared" ca="1" si="82"/>
        <v>8.1745673087130459</v>
      </c>
      <c r="R123" s="24">
        <f t="shared" ca="1" si="82"/>
        <v>7.4135892623673918</v>
      </c>
      <c r="S123" s="24">
        <f t="shared" ca="1" si="82"/>
        <v>7.606470261508071</v>
      </c>
      <c r="T123" s="24">
        <f t="shared" ca="1" si="82"/>
        <v>7.8531146877499332</v>
      </c>
      <c r="U123" s="24">
        <f t="shared" ca="1" si="82"/>
        <v>8.1168978264462552</v>
      </c>
      <c r="V123" s="24">
        <f t="shared" ca="1" si="82"/>
        <v>8.3712575044782476</v>
      </c>
      <c r="W123" s="24">
        <f t="shared" ca="1" si="82"/>
        <v>8.6174998483196585</v>
      </c>
      <c r="X123" s="24">
        <f t="shared" ca="1" si="82"/>
        <v>8.94447997921589</v>
      </c>
      <c r="Y123" s="24">
        <f t="shared" ca="1" si="82"/>
        <v>9.2669063542493451</v>
      </c>
      <c r="Z123" s="24">
        <f t="shared" ca="1" si="82"/>
        <v>9.6026860149284694</v>
      </c>
      <c r="AA123" s="24">
        <f t="shared" ca="1" si="82"/>
        <v>9.9822054590376741</v>
      </c>
      <c r="AB123" s="24">
        <f t="shared" ca="1" si="82"/>
        <v>10.317270981989159</v>
      </c>
      <c r="AC123" s="24">
        <f t="shared" ca="1" si="82"/>
        <v>10.692935721541447</v>
      </c>
      <c r="AD123" s="24">
        <f t="shared" ca="1" si="82"/>
        <v>11.023650021864391</v>
      </c>
      <c r="AE123" s="24">
        <f t="shared" ca="1" si="82"/>
        <v>11.388057849469151</v>
      </c>
      <c r="AF123" s="24">
        <f t="shared" ca="1" si="82"/>
        <v>11.774062802345563</v>
      </c>
      <c r="AG123" s="24">
        <f t="shared" ca="1" si="82"/>
        <v>12.180058258759367</v>
      </c>
      <c r="AH123" s="24">
        <f t="shared" ca="1" si="82"/>
        <v>12.560654410938998</v>
      </c>
      <c r="AI123" s="24">
        <f t="shared" ca="1" si="82"/>
        <v>12.939562595601384</v>
      </c>
      <c r="AJ123" s="24">
        <f t="shared" ca="1" si="82"/>
        <v>13.303987348911905</v>
      </c>
      <c r="AK123" s="24">
        <f t="shared" ca="1" si="82"/>
        <v>13.668091785531521</v>
      </c>
      <c r="AL123" s="24">
        <f t="shared" ca="1" si="82"/>
        <v>14.038185728608505</v>
      </c>
      <c r="AM123" s="24">
        <f t="shared" ca="1" si="82"/>
        <v>15.947573558305312</v>
      </c>
      <c r="AN123" s="24">
        <f t="shared" ca="1" si="82"/>
        <v>17.676523065961195</v>
      </c>
      <c r="AO123" s="24">
        <f t="shared" ca="1" si="82"/>
        <v>17.676523065961195</v>
      </c>
      <c r="AP123" s="24">
        <f t="shared" ca="1" si="82"/>
        <v>17.676523065961195</v>
      </c>
      <c r="AQ123" s="186"/>
      <c r="AR123" s="186"/>
      <c r="AS123" s="186"/>
      <c r="AU123" s="186"/>
      <c r="AV123" s="186"/>
      <c r="BB123" s="315">
        <f t="shared" si="71"/>
        <v>3</v>
      </c>
    </row>
    <row r="124" spans="1:54">
      <c r="A124" s="22" t="str">
        <f>'[5]TS BYDem'!A35</f>
        <v/>
      </c>
      <c r="B124" s="22" t="str">
        <f>'[5]TS BYDem'!B35</f>
        <v>COM_PROJ</v>
      </c>
      <c r="C124" s="22" t="str">
        <f>'[5]TS BYDem'!C35</f>
        <v>-</v>
      </c>
      <c r="D124" s="22" t="str">
        <f>'[5]TS BYDem'!D35</f>
        <v>RHEWG</v>
      </c>
      <c r="E124" s="111" t="s">
        <v>137</v>
      </c>
      <c r="F124" s="111" t="s">
        <v>137</v>
      </c>
      <c r="G124" s="111" t="s">
        <v>137</v>
      </c>
      <c r="H124" s="111" t="s">
        <v>137</v>
      </c>
      <c r="I124" s="111">
        <v>0</v>
      </c>
      <c r="J124" s="186">
        <f>'[5]TS BYDem'!J35</f>
        <v>31.741720257828536</v>
      </c>
      <c r="K124" s="24">
        <f t="shared" si="55"/>
        <v>32.208008967956879</v>
      </c>
      <c r="L124" s="24">
        <f t="shared" si="55"/>
        <v>32.674297678085217</v>
      </c>
      <c r="M124" s="24">
        <f t="shared" si="55"/>
        <v>33.140586388213556</v>
      </c>
      <c r="N124" s="24">
        <f t="shared" si="55"/>
        <v>33.606875098341902</v>
      </c>
      <c r="O124" s="24">
        <f>'[5]TS BYDem'!O35</f>
        <v>34.073163808470241</v>
      </c>
      <c r="P124" s="24">
        <f t="shared" ref="P124:AP124" ca="1" si="83">OFFSET(P$33,$BB124,$J$96)/OFFSET(O$33,$BB124,$J$96)*O124</f>
        <v>35.155847067207745</v>
      </c>
      <c r="Q124" s="24">
        <f t="shared" ca="1" si="83"/>
        <v>35.643581620679832</v>
      </c>
      <c r="R124" s="24">
        <f t="shared" ca="1" si="83"/>
        <v>32.325487575805298</v>
      </c>
      <c r="S124" s="24">
        <f t="shared" ca="1" si="83"/>
        <v>33.166506968797663</v>
      </c>
      <c r="T124" s="24">
        <f t="shared" ca="1" si="83"/>
        <v>34.241951136792608</v>
      </c>
      <c r="U124" s="24">
        <f t="shared" ca="1" si="83"/>
        <v>35.392125265796352</v>
      </c>
      <c r="V124" s="24">
        <f t="shared" ca="1" si="83"/>
        <v>36.501210261069396</v>
      </c>
      <c r="W124" s="24">
        <f t="shared" ca="1" si="83"/>
        <v>37.574901228397259</v>
      </c>
      <c r="X124" s="24">
        <f t="shared" ca="1" si="83"/>
        <v>39.000633324519086</v>
      </c>
      <c r="Y124" s="24">
        <f t="shared" ca="1" si="83"/>
        <v>40.406509670159473</v>
      </c>
      <c r="Z124" s="24">
        <f t="shared" ca="1" si="83"/>
        <v>41.870610372984899</v>
      </c>
      <c r="AA124" s="24">
        <f t="shared" ca="1" si="83"/>
        <v>43.525429737958866</v>
      </c>
      <c r="AB124" s="24">
        <f t="shared" ca="1" si="83"/>
        <v>44.986416584671517</v>
      </c>
      <c r="AC124" s="24">
        <f t="shared" ca="1" si="83"/>
        <v>46.62442827392281</v>
      </c>
      <c r="AD124" s="24">
        <f t="shared" ca="1" si="83"/>
        <v>48.06644247620634</v>
      </c>
      <c r="AE124" s="24">
        <f t="shared" ca="1" si="83"/>
        <v>49.655370630556533</v>
      </c>
      <c r="AF124" s="24">
        <f t="shared" ca="1" si="83"/>
        <v>51.338468771931204</v>
      </c>
      <c r="AG124" s="24">
        <f t="shared" ca="1" si="83"/>
        <v>53.108731544480179</v>
      </c>
      <c r="AH124" s="24">
        <f t="shared" ca="1" si="83"/>
        <v>54.768245681732672</v>
      </c>
      <c r="AI124" s="24">
        <f t="shared" ca="1" si="83"/>
        <v>56.420399770960373</v>
      </c>
      <c r="AJ124" s="24">
        <f t="shared" ca="1" si="83"/>
        <v>58.009401726498083</v>
      </c>
      <c r="AK124" s="24">
        <f t="shared" ca="1" si="83"/>
        <v>59.597007004549937</v>
      </c>
      <c r="AL124" s="24">
        <f t="shared" ca="1" si="83"/>
        <v>61.210728339173151</v>
      </c>
      <c r="AM124" s="24">
        <f t="shared" ca="1" si="83"/>
        <v>69.536235779889964</v>
      </c>
      <c r="AN124" s="24">
        <f t="shared" ca="1" si="83"/>
        <v>77.074977656598392</v>
      </c>
      <c r="AO124" s="24">
        <f t="shared" ca="1" si="83"/>
        <v>77.074977656598392</v>
      </c>
      <c r="AP124" s="24">
        <f t="shared" ca="1" si="83"/>
        <v>77.074977656598392</v>
      </c>
      <c r="AQ124" s="186"/>
      <c r="AR124" s="186"/>
      <c r="AS124" s="186"/>
      <c r="AU124" s="186"/>
      <c r="AV124" s="186"/>
      <c r="BB124" s="315">
        <f t="shared" si="71"/>
        <v>3</v>
      </c>
    </row>
    <row r="125" spans="1:54">
      <c r="A125" s="22" t="str">
        <f>'[5]TS BYDem'!A36</f>
        <v/>
      </c>
      <c r="B125" s="22" t="str">
        <f>'[5]TS BYDem'!B36</f>
        <v>COM_PROJ</v>
      </c>
      <c r="C125" s="22" t="str">
        <f>'[5]TS BYDem'!C36</f>
        <v>-</v>
      </c>
      <c r="D125" s="22" t="str">
        <f>'[5]TS BYDem'!D36</f>
        <v>RHEW</v>
      </c>
      <c r="E125" s="111" t="s">
        <v>137</v>
      </c>
      <c r="F125" s="111" t="s">
        <v>137</v>
      </c>
      <c r="G125" s="111" t="s">
        <v>137</v>
      </c>
      <c r="H125" s="111" t="s">
        <v>137</v>
      </c>
      <c r="I125" s="111">
        <v>0</v>
      </c>
      <c r="J125" s="186">
        <f>'[5]TS BYDem'!J36</f>
        <v>0.56043977372187515</v>
      </c>
      <c r="K125" s="24">
        <f t="shared" si="55"/>
        <v>1.8567305480628324</v>
      </c>
      <c r="L125" s="24">
        <f t="shared" si="55"/>
        <v>3.1530213224037897</v>
      </c>
      <c r="M125" s="24">
        <f t="shared" si="55"/>
        <v>4.4493120967447473</v>
      </c>
      <c r="N125" s="24">
        <f t="shared" si="55"/>
        <v>5.7456028710857048</v>
      </c>
      <c r="O125" s="24">
        <f>'[5]TS BYDem'!O36</f>
        <v>7.0418936454266614</v>
      </c>
      <c r="P125" s="24">
        <f t="shared" ref="P125:AP125" ca="1" si="84">OFFSET(P$33,$BB125,$J$96)/OFFSET(O$33,$BB125,$J$96)*O125</f>
        <v>7.2656515683060787</v>
      </c>
      <c r="Q125" s="24">
        <f t="shared" ca="1" si="84"/>
        <v>7.3664515665702934</v>
      </c>
      <c r="R125" s="24">
        <f t="shared" ca="1" si="84"/>
        <v>6.6807017635619337</v>
      </c>
      <c r="S125" s="24">
        <f t="shared" ca="1" si="84"/>
        <v>6.8545150657983784</v>
      </c>
      <c r="T125" s="24">
        <f t="shared" ca="1" si="84"/>
        <v>7.0767768873064867</v>
      </c>
      <c r="U125" s="24">
        <f t="shared" ca="1" si="84"/>
        <v>7.3144831342430319</v>
      </c>
      <c r="V125" s="24">
        <f t="shared" ca="1" si="84"/>
        <v>7.5436974984961633</v>
      </c>
      <c r="W125" s="24">
        <f t="shared" ca="1" si="84"/>
        <v>7.7655969863887009</v>
      </c>
      <c r="X125" s="24">
        <f t="shared" ca="1" si="84"/>
        <v>8.0602527408175089</v>
      </c>
      <c r="Y125" s="24">
        <f t="shared" ca="1" si="84"/>
        <v>8.3508049114427578</v>
      </c>
      <c r="Z125" s="24">
        <f t="shared" ca="1" si="84"/>
        <v>8.6533902978026855</v>
      </c>
      <c r="AA125" s="24">
        <f t="shared" ca="1" si="84"/>
        <v>8.9953914702222058</v>
      </c>
      <c r="AB125" s="24">
        <f t="shared" ca="1" si="84"/>
        <v>9.2973333165898815</v>
      </c>
      <c r="AC125" s="24">
        <f t="shared" ca="1" si="84"/>
        <v>9.6358608501794052</v>
      </c>
      <c r="AD125" s="24">
        <f t="shared" ca="1" si="84"/>
        <v>9.9338816240868475</v>
      </c>
      <c r="AE125" s="24">
        <f t="shared" ca="1" si="84"/>
        <v>10.262265073773332</v>
      </c>
      <c r="AF125" s="24">
        <f t="shared" ca="1" si="84"/>
        <v>10.610110615003331</v>
      </c>
      <c r="AG125" s="24">
        <f t="shared" ca="1" si="84"/>
        <v>10.975970452346909</v>
      </c>
      <c r="AH125" s="24">
        <f t="shared" ca="1" si="84"/>
        <v>11.318941892372358</v>
      </c>
      <c r="AI125" s="24">
        <f t="shared" ca="1" si="84"/>
        <v>11.660392232810251</v>
      </c>
      <c r="AJ125" s="24">
        <f t="shared" ca="1" si="84"/>
        <v>11.988790934972741</v>
      </c>
      <c r="AK125" s="24">
        <f t="shared" ca="1" si="84"/>
        <v>12.316900986091033</v>
      </c>
      <c r="AL125" s="24">
        <f t="shared" ca="1" si="84"/>
        <v>12.650408437164531</v>
      </c>
      <c r="AM125" s="24">
        <f t="shared" ca="1" si="84"/>
        <v>14.371039320498056</v>
      </c>
      <c r="AN125" s="24">
        <f t="shared" ca="1" si="84"/>
        <v>15.929069529096061</v>
      </c>
      <c r="AO125" s="24">
        <f t="shared" ca="1" si="84"/>
        <v>15.929069529096061</v>
      </c>
      <c r="AP125" s="24">
        <f t="shared" ca="1" si="84"/>
        <v>15.929069529096061</v>
      </c>
      <c r="AQ125" s="186"/>
      <c r="AR125" s="186"/>
      <c r="AS125" s="186"/>
      <c r="AU125" s="186"/>
      <c r="AV125" s="186"/>
      <c r="BB125" s="315">
        <f t="shared" si="71"/>
        <v>3</v>
      </c>
    </row>
    <row r="126" spans="1:54">
      <c r="A126" s="22" t="str">
        <f>'[5]TS BYDem'!A37</f>
        <v/>
      </c>
      <c r="B126" s="22" t="str">
        <f>'[5]TS BYDem'!B37</f>
        <v>COM_PROJ</v>
      </c>
      <c r="C126" s="22" t="str">
        <f>'[5]TS BYDem'!C37</f>
        <v>-</v>
      </c>
      <c r="D126" s="22" t="str">
        <f>'[5]TS BYDem'!D37</f>
        <v>RHER</v>
      </c>
      <c r="E126" s="111" t="s">
        <v>137</v>
      </c>
      <c r="F126" s="111" t="s">
        <v>137</v>
      </c>
      <c r="G126" s="111" t="s">
        <v>137</v>
      </c>
      <c r="H126" s="111" t="s">
        <v>137</v>
      </c>
      <c r="I126" s="111">
        <v>0</v>
      </c>
      <c r="J126" s="186">
        <f>'[5]TS BYDem'!J37</f>
        <v>5.223009778600523</v>
      </c>
      <c r="K126" s="24">
        <f t="shared" si="55"/>
        <v>5.3613760001895816</v>
      </c>
      <c r="L126" s="24">
        <f t="shared" si="55"/>
        <v>5.4997422217786411</v>
      </c>
      <c r="M126" s="24">
        <f t="shared" si="55"/>
        <v>5.6381084433676998</v>
      </c>
      <c r="N126" s="24">
        <f t="shared" si="55"/>
        <v>5.7764746649567593</v>
      </c>
      <c r="O126" s="24">
        <f>'[5]TS BYDem'!O37</f>
        <v>5.914840886545818</v>
      </c>
      <c r="P126" s="24">
        <f t="shared" ref="P126:AP126" ca="1" si="85">OFFSET(P$33,$BB126,$J$96)/OFFSET(O$33,$BB126,$J$96)*O126</f>
        <v>6.1027864275574011</v>
      </c>
      <c r="Q126" s="24">
        <f t="shared" ca="1" si="85"/>
        <v>6.1874534192953599</v>
      </c>
      <c r="R126" s="24">
        <f t="shared" ca="1" si="85"/>
        <v>5.6114576464241228</v>
      </c>
      <c r="S126" s="24">
        <f t="shared" ca="1" si="85"/>
        <v>5.7574521868786421</v>
      </c>
      <c r="T126" s="24">
        <f t="shared" ca="1" si="85"/>
        <v>5.9441410770506913</v>
      </c>
      <c r="U126" s="24">
        <f t="shared" ca="1" si="85"/>
        <v>6.143802517447587</v>
      </c>
      <c r="V126" s="24">
        <f t="shared" ca="1" si="85"/>
        <v>6.3363311981879624</v>
      </c>
      <c r="W126" s="24">
        <f t="shared" ca="1" si="85"/>
        <v>6.5227157461202872</v>
      </c>
      <c r="X126" s="24">
        <f t="shared" ca="1" si="85"/>
        <v>6.7702119440901898</v>
      </c>
      <c r="Y126" s="24">
        <f t="shared" ca="1" si="85"/>
        <v>7.0142613354928818</v>
      </c>
      <c r="Z126" s="24">
        <f t="shared" ca="1" si="85"/>
        <v>7.268418030414753</v>
      </c>
      <c r="AA126" s="24">
        <f t="shared" ca="1" si="85"/>
        <v>7.555682027817971</v>
      </c>
      <c r="AB126" s="24">
        <f t="shared" ca="1" si="85"/>
        <v>7.8092981811114157</v>
      </c>
      <c r="AC126" s="24">
        <f t="shared" ca="1" si="85"/>
        <v>8.0936444944354236</v>
      </c>
      <c r="AD126" s="24">
        <f t="shared" ca="1" si="85"/>
        <v>8.3439671416245904</v>
      </c>
      <c r="AE126" s="24">
        <f t="shared" ca="1" si="85"/>
        <v>8.6197929283335437</v>
      </c>
      <c r="AF126" s="24">
        <f t="shared" ca="1" si="85"/>
        <v>8.911965905243818</v>
      </c>
      <c r="AG126" s="24">
        <f t="shared" ca="1" si="85"/>
        <v>9.2192699961072471</v>
      </c>
      <c r="AH126" s="24">
        <f t="shared" ca="1" si="85"/>
        <v>9.507348970105598</v>
      </c>
      <c r="AI126" s="24">
        <f t="shared" ca="1" si="85"/>
        <v>9.794150296004446</v>
      </c>
      <c r="AJ126" s="24">
        <f t="shared" ca="1" si="85"/>
        <v>10.069988894035642</v>
      </c>
      <c r="AK126" s="24">
        <f t="shared" ca="1" si="85"/>
        <v>10.345585039527206</v>
      </c>
      <c r="AL126" s="24">
        <f t="shared" ca="1" si="85"/>
        <v>10.625714732888639</v>
      </c>
      <c r="AM126" s="24">
        <f t="shared" ca="1" si="85"/>
        <v>12.070959209990928</v>
      </c>
      <c r="AN126" s="24">
        <f t="shared" ca="1" si="85"/>
        <v>13.379627196800694</v>
      </c>
      <c r="AO126" s="24">
        <f t="shared" ca="1" si="85"/>
        <v>13.379627196800694</v>
      </c>
      <c r="AP126" s="24">
        <f t="shared" ca="1" si="85"/>
        <v>13.379627196800694</v>
      </c>
      <c r="AQ126" s="186"/>
      <c r="AR126" s="186"/>
      <c r="AS126" s="186"/>
      <c r="AU126" s="186"/>
      <c r="AV126" s="186"/>
      <c r="BB126" s="315">
        <f t="shared" si="71"/>
        <v>3</v>
      </c>
    </row>
    <row r="127" spans="1:54">
      <c r="A127" s="22" t="str">
        <f>'[5]TS BYDem'!A38</f>
        <v/>
      </c>
      <c r="B127" s="22" t="str">
        <f>'[5]TS BYDem'!B38</f>
        <v>COM_PROJ</v>
      </c>
      <c r="C127" s="22" t="str">
        <f>'[5]TS BYDem'!C38</f>
        <v>-</v>
      </c>
      <c r="D127" s="22" t="str">
        <f>'[5]TS BYDem'!D38</f>
        <v>RHEO</v>
      </c>
      <c r="E127" s="111" t="s">
        <v>137</v>
      </c>
      <c r="F127" s="111" t="s">
        <v>137</v>
      </c>
      <c r="G127" s="111" t="s">
        <v>137</v>
      </c>
      <c r="H127" s="111" t="s">
        <v>137</v>
      </c>
      <c r="I127" s="111">
        <v>0</v>
      </c>
      <c r="J127" s="186">
        <f>'[5]TS BYDem'!J38</f>
        <v>11.690334156193106</v>
      </c>
      <c r="K127" s="24">
        <f t="shared" si="55"/>
        <v>12.00003056398719</v>
      </c>
      <c r="L127" s="24">
        <f t="shared" si="55"/>
        <v>12.309726971781274</v>
      </c>
      <c r="M127" s="24">
        <f t="shared" si="55"/>
        <v>12.619423379575359</v>
      </c>
      <c r="N127" s="24">
        <f t="shared" si="55"/>
        <v>12.929119787369443</v>
      </c>
      <c r="O127" s="24">
        <f>'[5]TS BYDem'!O38</f>
        <v>13.238816195163526</v>
      </c>
      <c r="P127" s="24">
        <f t="shared" ref="P127:AP127" ca="1" si="86">IF($E$78=1, P93,P85)</f>
        <v>13.65948287409527</v>
      </c>
      <c r="Q127" s="24">
        <f t="shared" ca="1" si="86"/>
        <v>13.848987674463762</v>
      </c>
      <c r="R127" s="24">
        <f t="shared" ca="1" si="86"/>
        <v>12.559772577642002</v>
      </c>
      <c r="S127" s="24">
        <f t="shared" ca="1" si="86"/>
        <v>12.886542971579594</v>
      </c>
      <c r="T127" s="24">
        <f t="shared" ca="1" si="86"/>
        <v>13.304396968005552</v>
      </c>
      <c r="U127" s="24">
        <f t="shared" ca="1" si="86"/>
        <v>13.751286607368232</v>
      </c>
      <c r="V127" s="24">
        <f t="shared" ca="1" si="86"/>
        <v>14.182211439584242</v>
      </c>
      <c r="W127" s="24">
        <f t="shared" ca="1" si="86"/>
        <v>14.599384245924208</v>
      </c>
      <c r="X127" s="24">
        <f t="shared" ca="1" si="86"/>
        <v>15.153339413404428</v>
      </c>
      <c r="Y127" s="24">
        <f t="shared" ca="1" si="86"/>
        <v>15.699579810617983</v>
      </c>
      <c r="Z127" s="24">
        <f t="shared" ca="1" si="86"/>
        <v>16.268442749347997</v>
      </c>
      <c r="AA127" s="24">
        <f t="shared" ca="1" si="86"/>
        <v>16.911407680113879</v>
      </c>
      <c r="AB127" s="24">
        <f t="shared" ca="1" si="86"/>
        <v>17.479060758527812</v>
      </c>
      <c r="AC127" s="24">
        <f t="shared" ca="1" si="86"/>
        <v>18.115495220599584</v>
      </c>
      <c r="AD127" s="24">
        <f t="shared" ca="1" si="86"/>
        <v>18.675776651527382</v>
      </c>
      <c r="AE127" s="24">
        <f t="shared" ca="1" si="86"/>
        <v>19.293140154987352</v>
      </c>
      <c r="AF127" s="24">
        <f t="shared" ca="1" si="86"/>
        <v>19.947092545711381</v>
      </c>
      <c r="AG127" s="24">
        <f t="shared" ca="1" si="86"/>
        <v>20.634911956748592</v>
      </c>
      <c r="AH127" s="24">
        <f t="shared" ca="1" si="86"/>
        <v>21.279700998349114</v>
      </c>
      <c r="AI127" s="24">
        <f t="shared" ca="1" si="86"/>
        <v>21.921630360598005</v>
      </c>
      <c r="AJ127" s="24">
        <f t="shared" ca="1" si="86"/>
        <v>22.539022538834466</v>
      </c>
      <c r="AK127" s="24">
        <f t="shared" ca="1" si="86"/>
        <v>23.155872050806554</v>
      </c>
      <c r="AL127" s="24">
        <f t="shared" ca="1" si="86"/>
        <v>23.7828687177254</v>
      </c>
      <c r="AM127" s="24">
        <f t="shared" ca="1" si="86"/>
        <v>27.017668496186726</v>
      </c>
      <c r="AN127" s="24">
        <f t="shared" ca="1" si="86"/>
        <v>29.946777709805293</v>
      </c>
      <c r="AO127" s="24">
        <f t="shared" ca="1" si="86"/>
        <v>29.946777709805293</v>
      </c>
      <c r="AP127" s="24">
        <f t="shared" ca="1" si="86"/>
        <v>29.946777709805293</v>
      </c>
      <c r="AQ127" s="186"/>
      <c r="AR127" s="186"/>
      <c r="AS127" s="186"/>
      <c r="AU127" s="186"/>
      <c r="AV127" s="186"/>
      <c r="BB127" s="315">
        <f t="shared" si="71"/>
        <v>3</v>
      </c>
    </row>
    <row r="128" spans="1:54">
      <c r="A128" s="22" t="str">
        <f>'[5]TS BYDem'!A39</f>
        <v>*</v>
      </c>
      <c r="B128" s="22" t="str">
        <f>'[5]TS BYDem'!B39</f>
        <v>COM_PROJ</v>
      </c>
      <c r="C128" s="22" t="str">
        <f>'[5]TS BYDem'!C39</f>
        <v>-</v>
      </c>
      <c r="D128" s="22">
        <f>'[5]TS BYDem'!D39</f>
        <v>0</v>
      </c>
      <c r="E128" s="111" t="s">
        <v>137</v>
      </c>
      <c r="F128" s="111" t="s">
        <v>137</v>
      </c>
      <c r="G128" s="111" t="s">
        <v>137</v>
      </c>
      <c r="H128" s="111" t="s">
        <v>137</v>
      </c>
      <c r="I128" s="111">
        <v>0</v>
      </c>
      <c r="J128" s="186">
        <f>'[5]TS BYDem'!J39</f>
        <v>0</v>
      </c>
      <c r="K128" s="24">
        <f t="shared" si="55"/>
        <v>0</v>
      </c>
      <c r="L128" s="24">
        <f t="shared" si="55"/>
        <v>0</v>
      </c>
      <c r="M128" s="24">
        <f t="shared" si="55"/>
        <v>0</v>
      </c>
      <c r="N128" s="24">
        <f t="shared" si="55"/>
        <v>0</v>
      </c>
      <c r="O128" s="24">
        <f>'[5]TS BYDem'!O39</f>
        <v>0</v>
      </c>
      <c r="P128" s="24" t="e">
        <f t="shared" ref="P128:AP128" ca="1" si="87">OFFSET(P$33,$BB128,$J$96)/OFFSET(O$33,$BB128,$J$96)*O128</f>
        <v>#N/A</v>
      </c>
      <c r="Q128" s="24" t="e">
        <f t="shared" ca="1" si="87"/>
        <v>#N/A</v>
      </c>
      <c r="R128" s="24" t="e">
        <f t="shared" ca="1" si="87"/>
        <v>#N/A</v>
      </c>
      <c r="S128" s="24" t="e">
        <f t="shared" ca="1" si="87"/>
        <v>#N/A</v>
      </c>
      <c r="T128" s="24" t="e">
        <f t="shared" ca="1" si="87"/>
        <v>#N/A</v>
      </c>
      <c r="U128" s="24" t="e">
        <f t="shared" ca="1" si="87"/>
        <v>#N/A</v>
      </c>
      <c r="V128" s="24" t="e">
        <f t="shared" ca="1" si="87"/>
        <v>#N/A</v>
      </c>
      <c r="W128" s="24" t="e">
        <f t="shared" ca="1" si="87"/>
        <v>#N/A</v>
      </c>
      <c r="X128" s="24" t="e">
        <f t="shared" ca="1" si="87"/>
        <v>#N/A</v>
      </c>
      <c r="Y128" s="24" t="e">
        <f t="shared" ca="1" si="87"/>
        <v>#N/A</v>
      </c>
      <c r="Z128" s="24" t="e">
        <f t="shared" ca="1" si="87"/>
        <v>#N/A</v>
      </c>
      <c r="AA128" s="24" t="e">
        <f t="shared" ca="1" si="87"/>
        <v>#N/A</v>
      </c>
      <c r="AB128" s="24" t="e">
        <f t="shared" ca="1" si="87"/>
        <v>#N/A</v>
      </c>
      <c r="AC128" s="24" t="e">
        <f t="shared" ca="1" si="87"/>
        <v>#N/A</v>
      </c>
      <c r="AD128" s="24" t="e">
        <f t="shared" ca="1" si="87"/>
        <v>#N/A</v>
      </c>
      <c r="AE128" s="24" t="e">
        <f t="shared" ca="1" si="87"/>
        <v>#N/A</v>
      </c>
      <c r="AF128" s="24" t="e">
        <f t="shared" ca="1" si="87"/>
        <v>#N/A</v>
      </c>
      <c r="AG128" s="24" t="e">
        <f t="shared" ca="1" si="87"/>
        <v>#N/A</v>
      </c>
      <c r="AH128" s="24" t="e">
        <f t="shared" ca="1" si="87"/>
        <v>#N/A</v>
      </c>
      <c r="AI128" s="24" t="e">
        <f t="shared" ca="1" si="87"/>
        <v>#N/A</v>
      </c>
      <c r="AJ128" s="24" t="e">
        <f t="shared" ca="1" si="87"/>
        <v>#N/A</v>
      </c>
      <c r="AK128" s="24" t="e">
        <f t="shared" ca="1" si="87"/>
        <v>#N/A</v>
      </c>
      <c r="AL128" s="24" t="e">
        <f t="shared" ca="1" si="87"/>
        <v>#N/A</v>
      </c>
      <c r="AM128" s="24" t="e">
        <f t="shared" ca="1" si="87"/>
        <v>#N/A</v>
      </c>
      <c r="AN128" s="24" t="e">
        <f t="shared" ca="1" si="87"/>
        <v>#N/A</v>
      </c>
      <c r="AO128" s="24" t="e">
        <f t="shared" ca="1" si="87"/>
        <v>#N/A</v>
      </c>
      <c r="AP128" s="24" t="e">
        <f t="shared" ca="1" si="87"/>
        <v>#N/A</v>
      </c>
      <c r="AQ128" s="186"/>
      <c r="AR128" s="186"/>
      <c r="AS128" s="186"/>
      <c r="AT128" s="186"/>
      <c r="AU128" s="186"/>
      <c r="AV128" s="186"/>
      <c r="BB128" s="315" t="e">
        <f t="shared" si="71"/>
        <v>#N/A</v>
      </c>
    </row>
    <row r="129" spans="1:48">
      <c r="A129" s="22"/>
      <c r="B129" s="22"/>
      <c r="C129" s="22"/>
      <c r="D129" s="22"/>
      <c r="E129" s="111"/>
      <c r="F129" s="111"/>
      <c r="G129" s="111"/>
      <c r="H129" s="111"/>
      <c r="I129" s="111"/>
      <c r="J129" s="186"/>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24"/>
      <c r="AQ129" s="186"/>
      <c r="AR129" s="186"/>
      <c r="AS129" s="186"/>
      <c r="AT129" s="186"/>
      <c r="AU129" s="186"/>
      <c r="AV129" s="186"/>
    </row>
    <row r="130" spans="1:48">
      <c r="A130" s="22"/>
      <c r="B130" s="22"/>
      <c r="C130" s="22"/>
      <c r="D130" s="22"/>
      <c r="E130" s="111"/>
      <c r="F130" s="111"/>
      <c r="G130" s="111"/>
      <c r="H130" s="111"/>
      <c r="I130" s="111"/>
      <c r="J130" s="186"/>
      <c r="K130" s="24"/>
      <c r="L130" s="24"/>
      <c r="M130" s="24"/>
      <c r="N130" s="24"/>
      <c r="O130" s="24"/>
      <c r="P130" s="24"/>
      <c r="Q130" s="24"/>
      <c r="R130" s="24"/>
      <c r="S130" s="24"/>
      <c r="T130" s="24"/>
      <c r="U130" s="24"/>
      <c r="V130" s="24"/>
      <c r="W130" s="24"/>
      <c r="X130" s="24"/>
      <c r="Y130" s="24"/>
      <c r="Z130" s="24"/>
      <c r="AA130" s="24"/>
      <c r="AB130" s="24"/>
      <c r="AC130" s="24"/>
      <c r="AD130" s="24"/>
      <c r="AE130" s="24"/>
      <c r="AF130" s="24"/>
      <c r="AG130" s="24"/>
      <c r="AH130" s="24"/>
      <c r="AI130" s="24"/>
      <c r="AJ130" s="24"/>
      <c r="AK130" s="24"/>
      <c r="AL130" s="24"/>
      <c r="AM130" s="24"/>
      <c r="AN130" s="24"/>
      <c r="AO130" s="24"/>
      <c r="AP130" s="24"/>
      <c r="AQ130" s="186"/>
      <c r="AR130" s="186"/>
      <c r="AS130" s="186"/>
      <c r="AT130" s="186"/>
      <c r="AU130" s="186"/>
      <c r="AV130" s="186"/>
    </row>
    <row r="131" spans="1:48">
      <c r="A131" s="22"/>
      <c r="B131" s="22"/>
      <c r="C131" s="22"/>
      <c r="D131" s="22"/>
      <c r="E131" s="111"/>
      <c r="F131" s="111"/>
      <c r="G131" s="111"/>
      <c r="H131" s="111"/>
      <c r="I131" s="111"/>
      <c r="J131" s="186"/>
      <c r="K131" s="24"/>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24"/>
      <c r="AK131" s="24"/>
      <c r="AL131" s="24"/>
      <c r="AM131" s="24"/>
      <c r="AN131" s="24"/>
      <c r="AO131" s="24"/>
      <c r="AP131" s="24"/>
      <c r="AQ131" s="186"/>
      <c r="AR131" s="186"/>
      <c r="AS131" s="186"/>
      <c r="AT131" s="186"/>
      <c r="AU131" s="186"/>
      <c r="AV131" s="186"/>
    </row>
    <row r="132" spans="1:48">
      <c r="A132" s="22"/>
      <c r="B132" s="22"/>
      <c r="C132" s="22"/>
      <c r="D132" s="22"/>
      <c r="E132" s="111"/>
      <c r="F132" s="111"/>
      <c r="G132" s="111"/>
      <c r="H132" s="111"/>
      <c r="I132" s="111"/>
      <c r="J132" s="186"/>
      <c r="K132" s="24"/>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c r="AK132" s="24"/>
      <c r="AL132" s="24"/>
      <c r="AM132" s="24"/>
      <c r="AN132" s="24"/>
      <c r="AO132" s="24"/>
      <c r="AP132" s="24"/>
      <c r="AQ132" s="186"/>
      <c r="AR132" s="186"/>
      <c r="AS132" s="186"/>
      <c r="AT132" s="186"/>
      <c r="AU132" s="186"/>
      <c r="AV132" s="186"/>
    </row>
    <row r="133" spans="1:48">
      <c r="A133" s="22"/>
      <c r="B133" s="22"/>
      <c r="C133" s="22"/>
      <c r="D133" s="22"/>
      <c r="E133" s="111"/>
      <c r="F133" s="111"/>
      <c r="G133" s="111"/>
      <c r="H133" s="111"/>
      <c r="I133" s="111"/>
      <c r="J133" s="186"/>
      <c r="K133" s="24"/>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c r="AK133" s="24"/>
      <c r="AL133" s="24"/>
      <c r="AM133" s="24"/>
      <c r="AN133" s="24"/>
      <c r="AO133" s="24"/>
      <c r="AP133" s="24"/>
      <c r="AQ133" s="186"/>
      <c r="AR133" s="186"/>
      <c r="AS133" s="186"/>
      <c r="AT133" s="186"/>
      <c r="AU133" s="186"/>
      <c r="AV133" s="186"/>
    </row>
    <row r="134" spans="1:48">
      <c r="A134" s="22"/>
      <c r="B134" s="22"/>
      <c r="C134" s="22"/>
      <c r="D134" s="22"/>
      <c r="E134" s="111"/>
      <c r="F134" s="111"/>
      <c r="G134" s="111"/>
      <c r="H134" s="111"/>
      <c r="I134" s="111"/>
      <c r="J134" s="186"/>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c r="AM134" s="24"/>
      <c r="AN134" s="24"/>
      <c r="AO134" s="24"/>
      <c r="AP134" s="24"/>
      <c r="AQ134" s="186"/>
      <c r="AR134" s="186"/>
      <c r="AS134" s="186"/>
      <c r="AT134" s="186"/>
      <c r="AU134" s="186"/>
      <c r="AV134" s="186"/>
    </row>
    <row r="135" spans="1:48">
      <c r="A135" s="22"/>
      <c r="B135" s="22"/>
      <c r="C135" s="22"/>
      <c r="D135" s="22"/>
      <c r="E135" s="111"/>
      <c r="F135" s="111"/>
      <c r="G135" s="111"/>
      <c r="H135" s="111"/>
      <c r="I135" s="111"/>
      <c r="J135" s="186"/>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c r="AK135" s="24"/>
      <c r="AL135" s="24"/>
      <c r="AM135" s="24"/>
      <c r="AN135" s="24"/>
      <c r="AO135" s="24"/>
      <c r="AP135" s="24"/>
      <c r="AQ135" s="186"/>
      <c r="AR135" s="186"/>
      <c r="AS135" s="186"/>
      <c r="AT135" s="186"/>
      <c r="AU135" s="186"/>
      <c r="AV135" s="186"/>
    </row>
    <row r="136" spans="1:48">
      <c r="A136" s="22"/>
      <c r="B136" s="22"/>
      <c r="C136" s="22"/>
      <c r="D136" s="22"/>
      <c r="E136" s="111"/>
      <c r="F136" s="111"/>
      <c r="G136" s="111"/>
      <c r="H136" s="111"/>
      <c r="I136" s="111"/>
      <c r="J136" s="186"/>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c r="AK136" s="24"/>
      <c r="AL136" s="24"/>
      <c r="AM136" s="24"/>
      <c r="AN136" s="24"/>
      <c r="AO136" s="24"/>
      <c r="AP136" s="24"/>
      <c r="AQ136" s="186"/>
      <c r="AR136" s="186"/>
      <c r="AS136" s="186"/>
      <c r="AT136" s="186"/>
      <c r="AU136" s="186"/>
      <c r="AV136" s="186"/>
    </row>
    <row r="137" spans="1:48">
      <c r="A137" s="22"/>
      <c r="B137" s="22"/>
      <c r="C137" s="22"/>
      <c r="D137" s="22"/>
      <c r="E137" s="111"/>
      <c r="F137" s="111"/>
      <c r="G137" s="111"/>
      <c r="H137" s="111"/>
      <c r="I137" s="111"/>
      <c r="J137" s="186"/>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c r="AL137" s="24"/>
      <c r="AM137" s="24"/>
      <c r="AN137" s="24"/>
      <c r="AO137" s="24"/>
      <c r="AP137" s="24"/>
      <c r="AQ137" s="186"/>
      <c r="AR137" s="186"/>
      <c r="AS137" s="186"/>
      <c r="AT137" s="186"/>
      <c r="AU137" s="186"/>
      <c r="AV137" s="186"/>
    </row>
    <row r="138" spans="1:48">
      <c r="A138" s="22"/>
      <c r="B138" s="22"/>
      <c r="C138" s="22"/>
      <c r="D138" s="22"/>
      <c r="E138" s="111"/>
      <c r="F138" s="111"/>
      <c r="G138" s="111"/>
      <c r="H138" s="111"/>
      <c r="I138" s="111"/>
      <c r="J138" s="186"/>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c r="AM138" s="24"/>
      <c r="AN138" s="24"/>
      <c r="AO138" s="24"/>
      <c r="AP138" s="24"/>
      <c r="AQ138" s="186"/>
      <c r="AR138" s="186"/>
      <c r="AS138" s="186"/>
      <c r="AT138" s="186"/>
      <c r="AU138" s="186"/>
      <c r="AV138" s="186"/>
    </row>
    <row r="139" spans="1:48">
      <c r="A139" s="22"/>
      <c r="B139" s="22"/>
      <c r="C139" s="22"/>
      <c r="D139" s="22"/>
      <c r="E139" s="111"/>
      <c r="F139" s="111"/>
      <c r="G139" s="111"/>
      <c r="H139" s="111"/>
      <c r="I139" s="111"/>
      <c r="J139" s="186"/>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186"/>
      <c r="AR139" s="186"/>
      <c r="AS139" s="186"/>
      <c r="AT139" s="186"/>
      <c r="AU139" s="186"/>
      <c r="AV139" s="186"/>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heetViews>
  <sheetFormatPr defaultColWidth="9.140625" defaultRowHeight="11.25"/>
  <cols>
    <col min="1" max="1" width="12.42578125" style="18" customWidth="1"/>
    <col min="2" max="2" width="26.42578125" style="18" customWidth="1"/>
    <col min="3" max="3" width="11" style="18" customWidth="1"/>
    <col min="4" max="4" width="27.42578125" style="18" customWidth="1"/>
    <col min="5" max="5" width="10.140625" style="18" customWidth="1"/>
    <col min="6" max="6" width="28.85546875" style="18" customWidth="1"/>
    <col min="7" max="16384" width="9.140625"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B9" s="19" t="s">
        <v>37</v>
      </c>
      <c r="C9" s="18" t="str">
        <f>COM!B70</f>
        <v>CEC</v>
      </c>
      <c r="D9" s="18" t="str">
        <f>COM!C70</f>
        <v>Commercial - Cooling</v>
      </c>
      <c r="E9" s="19" t="s">
        <v>38</v>
      </c>
      <c r="F9" s="19" t="s">
        <v>39</v>
      </c>
    </row>
    <row r="10" spans="1:7">
      <c r="B10" s="19" t="s">
        <v>37</v>
      </c>
      <c r="C10" s="18" t="str">
        <f>COM!B71</f>
        <v>CEH</v>
      </c>
      <c r="D10" s="18" t="str">
        <f>COM!C71</f>
        <v>Commercial - Space Heating</v>
      </c>
      <c r="E10" s="19" t="s">
        <v>38</v>
      </c>
      <c r="F10" s="19" t="s">
        <v>39</v>
      </c>
    </row>
    <row r="11" spans="1:7">
      <c r="B11" s="19" t="s">
        <v>37</v>
      </c>
      <c r="C11" s="18" t="str">
        <f>COM!B72</f>
        <v>CEK</v>
      </c>
      <c r="D11" s="18" t="str">
        <f>COM!C72</f>
        <v>Commercial - Cooking</v>
      </c>
      <c r="E11" s="19" t="s">
        <v>38</v>
      </c>
      <c r="F11" s="19" t="s">
        <v>39</v>
      </c>
    </row>
    <row r="12" spans="1:7">
      <c r="B12" s="19" t="s">
        <v>37</v>
      </c>
      <c r="C12" s="18" t="str">
        <f>COM!B73</f>
        <v>CEL</v>
      </c>
      <c r="D12" s="18" t="str">
        <f>COM!C73</f>
        <v>Commercial - Lighting</v>
      </c>
      <c r="E12" s="19" t="s">
        <v>38</v>
      </c>
      <c r="F12" s="19" t="s">
        <v>39</v>
      </c>
    </row>
    <row r="13" spans="1:7">
      <c r="B13" s="19" t="s">
        <v>37</v>
      </c>
      <c r="C13" s="18" t="str">
        <f>COM!B74</f>
        <v>CER</v>
      </c>
      <c r="D13" s="18" t="str">
        <f>COM!C74</f>
        <v>Commercial - Refrigeration</v>
      </c>
      <c r="E13" s="19" t="s">
        <v>38</v>
      </c>
      <c r="F13" s="19" t="s">
        <v>39</v>
      </c>
    </row>
    <row r="14" spans="1:7">
      <c r="B14" s="19" t="s">
        <v>37</v>
      </c>
      <c r="C14" s="18" t="str">
        <f>COM!B75</f>
        <v>CEW</v>
      </c>
      <c r="D14" s="18" t="str">
        <f>COM!C75</f>
        <v>Commercial - Water Heating</v>
      </c>
      <c r="E14" s="19" t="s">
        <v>38</v>
      </c>
      <c r="F14" s="19" t="s">
        <v>39</v>
      </c>
    </row>
    <row r="15" spans="1:7">
      <c r="B15" s="19" t="s">
        <v>37</v>
      </c>
      <c r="C15" s="18" t="str">
        <f>COM!B76</f>
        <v>CEG</v>
      </c>
      <c r="D15" s="18" t="str">
        <f>COM!C76</f>
        <v>Commercial - Public lights</v>
      </c>
      <c r="E15" s="19" t="s">
        <v>38</v>
      </c>
      <c r="F15" s="19" t="s">
        <v>39</v>
      </c>
    </row>
    <row r="16" spans="1:7">
      <c r="B16" s="19" t="s">
        <v>37</v>
      </c>
      <c r="C16" s="18" t="str">
        <f>COM!B77</f>
        <v>CET</v>
      </c>
      <c r="D16" s="18" t="str">
        <f>COM!C77</f>
        <v>Commercial - Public Water</v>
      </c>
      <c r="E16" s="19" t="s">
        <v>38</v>
      </c>
      <c r="F16" s="19" t="s">
        <v>39</v>
      </c>
    </row>
    <row r="17" spans="1:6">
      <c r="B17" s="19" t="s">
        <v>37</v>
      </c>
      <c r="C17" s="18" t="str">
        <f>COM!B78</f>
        <v>CEO</v>
      </c>
      <c r="D17" s="18" t="str">
        <f>COM!C78</f>
        <v>Commercial - Other</v>
      </c>
      <c r="E17" s="19" t="s">
        <v>38</v>
      </c>
      <c r="F17" s="19" t="s">
        <v>39</v>
      </c>
    </row>
    <row r="18" spans="1:6">
      <c r="A18" s="18" t="s">
        <v>16</v>
      </c>
    </row>
    <row r="19" spans="1:6">
      <c r="B19" s="19" t="s">
        <v>37</v>
      </c>
      <c r="C19" s="18" t="str">
        <f>COM!B81</f>
        <v>CNC</v>
      </c>
      <c r="D19" s="18" t="str">
        <f>COM!C81</f>
        <v>Commercial - Cooling</v>
      </c>
      <c r="E19" s="19" t="s">
        <v>38</v>
      </c>
      <c r="F19" s="19" t="s">
        <v>39</v>
      </c>
    </row>
    <row r="20" spans="1:6">
      <c r="B20" s="19" t="s">
        <v>37</v>
      </c>
      <c r="C20" s="18" t="str">
        <f>COM!B82</f>
        <v>CNH</v>
      </c>
      <c r="D20" s="18" t="str">
        <f>COM!C82</f>
        <v>Commercial - Space Heating</v>
      </c>
      <c r="E20" s="19" t="s">
        <v>38</v>
      </c>
      <c r="F20" s="19" t="s">
        <v>39</v>
      </c>
    </row>
    <row r="21" spans="1:6">
      <c r="B21" s="19" t="s">
        <v>37</v>
      </c>
      <c r="C21" s="18" t="str">
        <f>COM!B83</f>
        <v>CNK</v>
      </c>
      <c r="D21" s="18" t="str">
        <f>COM!C83</f>
        <v>Commercial - Cooking</v>
      </c>
      <c r="E21" s="19" t="s">
        <v>38</v>
      </c>
      <c r="F21" s="19" t="s">
        <v>39</v>
      </c>
    </row>
    <row r="22" spans="1:6">
      <c r="B22" s="19" t="s">
        <v>37</v>
      </c>
      <c r="C22" s="18" t="str">
        <f>COM!B84</f>
        <v>CNL</v>
      </c>
      <c r="D22" s="18" t="str">
        <f>COM!C84</f>
        <v>Commercial - Lighting</v>
      </c>
      <c r="E22" s="19" t="s">
        <v>38</v>
      </c>
      <c r="F22" s="19" t="s">
        <v>39</v>
      </c>
    </row>
    <row r="23" spans="1:6">
      <c r="B23" s="19" t="s">
        <v>37</v>
      </c>
      <c r="C23" s="18" t="str">
        <f>COM!B85</f>
        <v>CNR</v>
      </c>
      <c r="D23" s="18" t="str">
        <f>COM!C85</f>
        <v>Commercial - Refrigeration</v>
      </c>
      <c r="E23" s="19" t="s">
        <v>38</v>
      </c>
      <c r="F23" s="19" t="s">
        <v>39</v>
      </c>
    </row>
    <row r="24" spans="1:6">
      <c r="B24" s="19" t="s">
        <v>37</v>
      </c>
      <c r="C24" s="18" t="str">
        <f>COM!B86</f>
        <v>CNW</v>
      </c>
      <c r="D24" s="18" t="str">
        <f>COM!C86</f>
        <v>Commercial - Water Heating</v>
      </c>
      <c r="E24" s="19" t="s">
        <v>38</v>
      </c>
      <c r="F24" s="19" t="s">
        <v>39</v>
      </c>
    </row>
    <row r="25" spans="1:6">
      <c r="B25" s="19" t="s">
        <v>37</v>
      </c>
      <c r="C25" s="18" t="str">
        <f>COM!B87</f>
        <v>CNG</v>
      </c>
      <c r="D25" s="18" t="str">
        <f>COM!C87</f>
        <v>Commercial - Public lights</v>
      </c>
      <c r="E25" s="19" t="s">
        <v>38</v>
      </c>
      <c r="F25" s="19" t="s">
        <v>39</v>
      </c>
    </row>
    <row r="26" spans="1:6">
      <c r="B26" s="19" t="s">
        <v>37</v>
      </c>
      <c r="C26" s="18" t="str">
        <f>COM!B88</f>
        <v>CNT</v>
      </c>
      <c r="D26" s="18" t="str">
        <f>COM!C88</f>
        <v>Commercial - Public Water</v>
      </c>
      <c r="E26" s="19" t="s">
        <v>38</v>
      </c>
      <c r="F26" s="19" t="s">
        <v>39</v>
      </c>
    </row>
    <row r="27" spans="1:6">
      <c r="B27" s="19" t="s">
        <v>37</v>
      </c>
      <c r="C27" s="18" t="str">
        <f>COM!B89</f>
        <v>CNO</v>
      </c>
      <c r="D27" s="18" t="str">
        <f>COM!C89</f>
        <v>Commercial - Other</v>
      </c>
      <c r="E27" s="19" t="s">
        <v>38</v>
      </c>
      <c r="F27" s="19"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rgb="FFFFC000"/>
  </sheetPr>
  <dimension ref="A1:AX269"/>
  <sheetViews>
    <sheetView workbookViewId="0"/>
  </sheetViews>
  <sheetFormatPr defaultColWidth="9.140625" defaultRowHeight="15"/>
  <cols>
    <col min="1" max="1" width="9.140625" style="87"/>
    <col min="2" max="2" width="32.5703125" style="87" customWidth="1"/>
    <col min="3" max="3" width="31.85546875" style="87" customWidth="1"/>
    <col min="4" max="4" width="12" style="87" customWidth="1"/>
    <col min="5" max="5" width="13.42578125" style="87" customWidth="1"/>
    <col min="6" max="10" width="9.140625" style="87"/>
    <col min="11" max="11" width="6.85546875" style="86" customWidth="1"/>
    <col min="12" max="12" width="6.85546875" style="87" customWidth="1"/>
    <col min="13" max="13" width="8.5703125" style="87" customWidth="1"/>
    <col min="14" max="16" width="16.140625" style="87" customWidth="1"/>
    <col min="17" max="21" width="11.85546875" style="87" customWidth="1"/>
    <col min="22" max="40" width="6.85546875" style="87" customWidth="1"/>
    <col min="41" max="41" width="9.42578125" style="87" customWidth="1"/>
    <col min="42" max="47" width="6.85546875" style="87" customWidth="1"/>
    <col min="48" max="48" width="9.85546875" style="87" customWidth="1"/>
    <col min="49" max="49" width="17.85546875" style="87" bestFit="1" customWidth="1"/>
    <col min="50" max="16384" width="9.140625" style="87"/>
  </cols>
  <sheetData>
    <row r="1" spans="1:48" s="185" customFormat="1">
      <c r="A1" s="185" t="str">
        <f>IF(COM,"TS DATA","")</f>
        <v>TS DATA</v>
      </c>
      <c r="B1" s="185" t="s">
        <v>17</v>
      </c>
      <c r="J1" s="40"/>
    </row>
    <row r="2" spans="1:48" s="185" customFormat="1" ht="15.75" thickBot="1">
      <c r="A2" s="185" t="s">
        <v>16</v>
      </c>
      <c r="B2" s="325" t="s">
        <v>296</v>
      </c>
      <c r="C2" s="325"/>
      <c r="J2" s="40"/>
    </row>
    <row r="3" spans="1:48">
      <c r="A3" s="185" t="s">
        <v>16</v>
      </c>
      <c r="J3" s="86">
        <f>MATCH(J4,Drivers!$C$5:$AG$5,0)</f>
        <v>1</v>
      </c>
      <c r="K3" s="86">
        <f>MATCH(K4,Drivers!$C$5:$AG$5,0)</f>
        <v>2</v>
      </c>
      <c r="L3" s="86">
        <f>MATCH(L4,Drivers!$C$5:$AG$5,0)</f>
        <v>3</v>
      </c>
      <c r="M3" s="86">
        <f>MATCH(M4,Drivers!$C$5:$AG$5,0)</f>
        <v>4</v>
      </c>
      <c r="N3" s="86">
        <f>MATCH(N4,Drivers!$C$5:$AG$5,0)</f>
        <v>5</v>
      </c>
      <c r="O3" s="86">
        <f>MATCH(O4,Drivers!$C$5:$AG$5,0)</f>
        <v>6</v>
      </c>
      <c r="P3" s="86">
        <f>MATCH(P4,Drivers!$C$5:$AG$5,0)</f>
        <v>7</v>
      </c>
      <c r="Q3" s="86">
        <f>MATCH(Q4,Drivers!$C$5:$AG$5,0)</f>
        <v>8</v>
      </c>
      <c r="R3" s="86">
        <f>MATCH(R4,Drivers!$C$5:$AG$5,0)</f>
        <v>9</v>
      </c>
      <c r="S3" s="86">
        <f>MATCH(S4,Drivers!$C$5:$AG$5,0)</f>
        <v>10</v>
      </c>
      <c r="T3" s="86">
        <f>MATCH(T4,Drivers!$C$5:$AG$5,0)</f>
        <v>11</v>
      </c>
      <c r="U3" s="86">
        <f>MATCH(U4,Drivers!$C$5:$AG$5,0)</f>
        <v>12</v>
      </c>
      <c r="V3" s="86">
        <f>MATCH(V4,Drivers!$C$5:$AG$5,0)</f>
        <v>13</v>
      </c>
      <c r="W3" s="86">
        <f>MATCH(W4,Drivers!$C$5:$AG$5,0)</f>
        <v>14</v>
      </c>
      <c r="X3" s="86">
        <f>MATCH(X4,Drivers!$C$5:$AG$5,0)</f>
        <v>15</v>
      </c>
      <c r="Y3" s="86">
        <f>MATCH(Y4,Drivers!$C$5:$AG$5,0)</f>
        <v>16</v>
      </c>
      <c r="Z3" s="86">
        <f>MATCH(Z4,Drivers!$C$5:$AG$5,0)</f>
        <v>17</v>
      </c>
      <c r="AA3" s="86">
        <f>MATCH(AA4,Drivers!$C$5:$AG$5,0)</f>
        <v>18</v>
      </c>
      <c r="AB3" s="86">
        <f>MATCH(AB4,Drivers!$C$5:$AG$5,0)</f>
        <v>19</v>
      </c>
      <c r="AC3" s="86">
        <f>MATCH(AC4,Drivers!$C$5:$AG$5,0)</f>
        <v>20</v>
      </c>
      <c r="AD3" s="86">
        <f>MATCH(AD4,Drivers!$C$5:$AG$5,0)</f>
        <v>21</v>
      </c>
      <c r="AE3" s="86">
        <f>MATCH(AE4,Drivers!$C$5:$AG$5,0)</f>
        <v>22</v>
      </c>
      <c r="AF3" s="86">
        <f>MATCH(AF4,Drivers!$C$5:$AG$5,0)</f>
        <v>23</v>
      </c>
      <c r="AG3" s="86">
        <f>MATCH(AG4,Drivers!$C$5:$AG$5,0)</f>
        <v>24</v>
      </c>
      <c r="AH3" s="86">
        <f>MATCH(AH4,Drivers!$C$5:$AG$5,0)</f>
        <v>25</v>
      </c>
      <c r="AI3" s="86">
        <f>MATCH(AI4,Drivers!$C$5:$AG$5,0)</f>
        <v>26</v>
      </c>
      <c r="AJ3" s="86">
        <f>MATCH(AJ4,Drivers!$C$5:$AG$5,0)</f>
        <v>27</v>
      </c>
      <c r="AK3" s="86">
        <f>MATCH(AK4,Drivers!$C$5:$AG$5,0)</f>
        <v>28</v>
      </c>
      <c r="AL3" s="86">
        <f>MATCH(AL4,Drivers!$C$5:$AG$5,0)</f>
        <v>29</v>
      </c>
      <c r="AM3" s="86" t="e">
        <f>MATCH(AM4,Drivers!$C$5:$AG$5,0)</f>
        <v>#N/A</v>
      </c>
      <c r="AN3" s="86" t="e">
        <f>MATCH(AN4,Drivers!$C$5:$AG$5,0)</f>
        <v>#N/A</v>
      </c>
      <c r="AO3" s="86" t="e">
        <f>MATCH(AO4,Drivers!$C$5:$AG$5,0)</f>
        <v>#N/A</v>
      </c>
      <c r="AP3" s="86" t="e">
        <f>MATCH(AP4,Drivers!$C$5:$AG$5,0)</f>
        <v>#N/A</v>
      </c>
      <c r="AQ3" s="86">
        <f>MATCH(AQ4,Drivers!$C$5:$AG$5,0)</f>
        <v>30</v>
      </c>
      <c r="AR3" s="86" t="e">
        <f>MATCH(AR4,Drivers!$C$5:$AG$5,0)</f>
        <v>#N/A</v>
      </c>
      <c r="AS3" s="86" t="e">
        <f>MATCH(AS4,Drivers!$C$5:$AG$5,0)</f>
        <v>#N/A</v>
      </c>
      <c r="AT3" s="86" t="e">
        <f>MATCH(AT4,Drivers!$C$5:$AG$5,0)</f>
        <v>#N/A</v>
      </c>
      <c r="AU3" s="86" t="e">
        <f>MATCH(AU4,Drivers!$C$5:$AG$5,0)</f>
        <v>#N/A</v>
      </c>
      <c r="AV3" s="86">
        <f>MATCH(AV4,Drivers!$C$5:$AG$5,0)</f>
        <v>31</v>
      </c>
    </row>
    <row r="4" spans="1:48" ht="15.75" thickBot="1">
      <c r="A4" s="185" t="s">
        <v>16</v>
      </c>
      <c r="B4" s="84" t="s">
        <v>11</v>
      </c>
      <c r="C4" s="84"/>
      <c r="D4" s="84"/>
      <c r="E4" s="85"/>
      <c r="F4" s="85"/>
      <c r="G4" s="85"/>
      <c r="H4" s="85"/>
      <c r="I4" s="85"/>
      <c r="J4" s="86">
        <v>2012</v>
      </c>
      <c r="K4" s="87">
        <f>J4+1</f>
        <v>2013</v>
      </c>
      <c r="L4" s="87">
        <f>K4+1</f>
        <v>2014</v>
      </c>
      <c r="M4" s="87">
        <f t="shared" ref="M4:AR4" si="0">L4+1</f>
        <v>2015</v>
      </c>
      <c r="N4" s="87">
        <f t="shared" si="0"/>
        <v>2016</v>
      </c>
      <c r="O4" s="87">
        <f t="shared" si="0"/>
        <v>2017</v>
      </c>
      <c r="P4" s="87">
        <f t="shared" si="0"/>
        <v>2018</v>
      </c>
      <c r="Q4" s="87">
        <f t="shared" si="0"/>
        <v>2019</v>
      </c>
      <c r="R4" s="87">
        <f t="shared" si="0"/>
        <v>2020</v>
      </c>
      <c r="S4" s="87">
        <f t="shared" si="0"/>
        <v>2021</v>
      </c>
      <c r="T4" s="87">
        <f t="shared" si="0"/>
        <v>2022</v>
      </c>
      <c r="U4" s="87">
        <f t="shared" si="0"/>
        <v>2023</v>
      </c>
      <c r="V4" s="87">
        <f t="shared" si="0"/>
        <v>2024</v>
      </c>
      <c r="W4" s="87">
        <f t="shared" si="0"/>
        <v>2025</v>
      </c>
      <c r="X4" s="87">
        <f t="shared" si="0"/>
        <v>2026</v>
      </c>
      <c r="Y4" s="87">
        <f t="shared" si="0"/>
        <v>2027</v>
      </c>
      <c r="Z4" s="87">
        <f t="shared" si="0"/>
        <v>2028</v>
      </c>
      <c r="AA4" s="87">
        <f t="shared" si="0"/>
        <v>2029</v>
      </c>
      <c r="AB4" s="87">
        <f t="shared" si="0"/>
        <v>2030</v>
      </c>
      <c r="AC4" s="87">
        <f t="shared" si="0"/>
        <v>2031</v>
      </c>
      <c r="AD4" s="87">
        <f t="shared" si="0"/>
        <v>2032</v>
      </c>
      <c r="AE4" s="87">
        <f t="shared" si="0"/>
        <v>2033</v>
      </c>
      <c r="AF4" s="87">
        <f t="shared" si="0"/>
        <v>2034</v>
      </c>
      <c r="AG4" s="87">
        <f t="shared" si="0"/>
        <v>2035</v>
      </c>
      <c r="AH4" s="87">
        <f t="shared" si="0"/>
        <v>2036</v>
      </c>
      <c r="AI4" s="87">
        <f t="shared" si="0"/>
        <v>2037</v>
      </c>
      <c r="AJ4" s="87">
        <f t="shared" si="0"/>
        <v>2038</v>
      </c>
      <c r="AK4" s="87">
        <f t="shared" si="0"/>
        <v>2039</v>
      </c>
      <c r="AL4" s="87">
        <f t="shared" si="0"/>
        <v>2040</v>
      </c>
      <c r="AM4" s="87">
        <f t="shared" si="0"/>
        <v>2041</v>
      </c>
      <c r="AN4" s="87">
        <f t="shared" si="0"/>
        <v>2042</v>
      </c>
      <c r="AO4" s="87">
        <f t="shared" si="0"/>
        <v>2043</v>
      </c>
      <c r="AP4" s="87">
        <f t="shared" si="0"/>
        <v>2044</v>
      </c>
      <c r="AQ4" s="87">
        <f t="shared" si="0"/>
        <v>2045</v>
      </c>
      <c r="AR4" s="87">
        <f t="shared" si="0"/>
        <v>2046</v>
      </c>
      <c r="AS4" s="87">
        <f>AR4+1</f>
        <v>2047</v>
      </c>
      <c r="AT4" s="87">
        <f>AS4+1</f>
        <v>2048</v>
      </c>
      <c r="AU4" s="87">
        <f>AT4+1</f>
        <v>2049</v>
      </c>
      <c r="AV4" s="87">
        <f>AU4+1</f>
        <v>2050</v>
      </c>
    </row>
    <row r="5" spans="1:48" s="185" customFormat="1">
      <c r="A5" s="185" t="s">
        <v>16</v>
      </c>
      <c r="C5" s="185">
        <v>1</v>
      </c>
      <c r="D5" s="185">
        <v>2012</v>
      </c>
      <c r="E5" s="185">
        <v>2017</v>
      </c>
      <c r="F5" s="185">
        <v>2020</v>
      </c>
      <c r="G5" s="185">
        <v>2030</v>
      </c>
      <c r="H5" s="185">
        <v>2050</v>
      </c>
      <c r="I5" s="185" t="s">
        <v>392</v>
      </c>
      <c r="J5" s="185">
        <f>MATCH(J$4,$D$5:$H$5,$C5)</f>
        <v>1</v>
      </c>
      <c r="K5" s="185">
        <f t="shared" ref="K5:AV6" si="1">MATCH(K$4,$D$5:$H$5,$C5)</f>
        <v>1</v>
      </c>
      <c r="L5" s="185">
        <f t="shared" si="1"/>
        <v>1</v>
      </c>
      <c r="M5" s="185">
        <f t="shared" si="1"/>
        <v>1</v>
      </c>
      <c r="N5" s="185">
        <f t="shared" si="1"/>
        <v>1</v>
      </c>
      <c r="O5" s="185">
        <f t="shared" si="1"/>
        <v>2</v>
      </c>
      <c r="P5" s="185">
        <f t="shared" si="1"/>
        <v>2</v>
      </c>
      <c r="Q5" s="185">
        <f t="shared" si="1"/>
        <v>2</v>
      </c>
      <c r="R5" s="185">
        <f t="shared" si="1"/>
        <v>3</v>
      </c>
      <c r="S5" s="185">
        <f t="shared" si="1"/>
        <v>3</v>
      </c>
      <c r="T5" s="185">
        <f t="shared" si="1"/>
        <v>3</v>
      </c>
      <c r="U5" s="185">
        <f t="shared" si="1"/>
        <v>3</v>
      </c>
      <c r="V5" s="185">
        <f t="shared" si="1"/>
        <v>3</v>
      </c>
      <c r="W5" s="185">
        <f t="shared" si="1"/>
        <v>3</v>
      </c>
      <c r="X5" s="185">
        <f t="shared" si="1"/>
        <v>3</v>
      </c>
      <c r="Y5" s="185">
        <f t="shared" si="1"/>
        <v>3</v>
      </c>
      <c r="Z5" s="185">
        <f t="shared" si="1"/>
        <v>3</v>
      </c>
      <c r="AA5" s="185">
        <f t="shared" si="1"/>
        <v>3</v>
      </c>
      <c r="AB5" s="185">
        <f t="shared" si="1"/>
        <v>4</v>
      </c>
      <c r="AC5" s="185">
        <f t="shared" si="1"/>
        <v>4</v>
      </c>
      <c r="AD5" s="185">
        <f t="shared" si="1"/>
        <v>4</v>
      </c>
      <c r="AE5" s="185">
        <f t="shared" si="1"/>
        <v>4</v>
      </c>
      <c r="AF5" s="185">
        <f t="shared" si="1"/>
        <v>4</v>
      </c>
      <c r="AG5" s="185">
        <f t="shared" si="1"/>
        <v>4</v>
      </c>
      <c r="AH5" s="185">
        <f t="shared" si="1"/>
        <v>4</v>
      </c>
      <c r="AI5" s="185">
        <f t="shared" si="1"/>
        <v>4</v>
      </c>
      <c r="AJ5" s="185">
        <f t="shared" si="1"/>
        <v>4</v>
      </c>
      <c r="AK5" s="185">
        <f t="shared" si="1"/>
        <v>4</v>
      </c>
      <c r="AL5" s="185">
        <f t="shared" si="1"/>
        <v>4</v>
      </c>
      <c r="AM5" s="185">
        <f t="shared" si="1"/>
        <v>4</v>
      </c>
      <c r="AN5" s="185">
        <f t="shared" si="1"/>
        <v>4</v>
      </c>
      <c r="AO5" s="185">
        <f t="shared" si="1"/>
        <v>4</v>
      </c>
      <c r="AP5" s="185">
        <f t="shared" si="1"/>
        <v>4</v>
      </c>
      <c r="AQ5" s="185">
        <f t="shared" si="1"/>
        <v>4</v>
      </c>
      <c r="AR5" s="185">
        <f t="shared" si="1"/>
        <v>4</v>
      </c>
      <c r="AS5" s="185">
        <f t="shared" si="1"/>
        <v>4</v>
      </c>
      <c r="AT5" s="185">
        <f t="shared" si="1"/>
        <v>4</v>
      </c>
      <c r="AU5" s="185">
        <f t="shared" si="1"/>
        <v>4</v>
      </c>
      <c r="AV5" s="185">
        <f t="shared" si="1"/>
        <v>5</v>
      </c>
    </row>
    <row r="6" spans="1:48" s="185" customFormat="1">
      <c r="A6" s="185" t="s">
        <v>16</v>
      </c>
      <c r="C6" s="185">
        <v>0</v>
      </c>
      <c r="D6" s="185">
        <f>INDEX($D5:$H5,0,COUNT($D5:$H5)-D7)</f>
        <v>2050</v>
      </c>
      <c r="E6" s="185">
        <f>INDEX($D5:$H5,0,COUNT($D5:$H5)-E7)</f>
        <v>2030</v>
      </c>
      <c r="F6" s="185">
        <f>INDEX($D5:$H5,0,COUNT($D5:$H5)-F7)</f>
        <v>2020</v>
      </c>
      <c r="G6" s="185">
        <f>INDEX($D5:$H5,0,COUNT($D5:$H5)-G7)</f>
        <v>2017</v>
      </c>
      <c r="H6" s="185">
        <f>INDEX($D5:$H5,0,COUNT($D5:$H5)-H7)</f>
        <v>2012</v>
      </c>
      <c r="I6" s="185" t="s">
        <v>393</v>
      </c>
      <c r="J6" s="185">
        <f>MATCH(J$4,$D$5:$H$5,$C6)</f>
        <v>1</v>
      </c>
      <c r="K6" s="185" t="e">
        <f t="shared" si="1"/>
        <v>#N/A</v>
      </c>
      <c r="L6" s="185" t="e">
        <f t="shared" si="1"/>
        <v>#N/A</v>
      </c>
      <c r="M6" s="185" t="e">
        <f t="shared" si="1"/>
        <v>#N/A</v>
      </c>
      <c r="N6" s="185" t="e">
        <f t="shared" si="1"/>
        <v>#N/A</v>
      </c>
      <c r="O6" s="185">
        <f t="shared" si="1"/>
        <v>2</v>
      </c>
      <c r="P6" s="185" t="e">
        <f t="shared" si="1"/>
        <v>#N/A</v>
      </c>
      <c r="Q6" s="185" t="e">
        <f t="shared" si="1"/>
        <v>#N/A</v>
      </c>
      <c r="R6" s="185">
        <f t="shared" si="1"/>
        <v>3</v>
      </c>
      <c r="S6" s="185" t="e">
        <f t="shared" si="1"/>
        <v>#N/A</v>
      </c>
      <c r="T6" s="185" t="e">
        <f t="shared" si="1"/>
        <v>#N/A</v>
      </c>
      <c r="U6" s="185" t="e">
        <f t="shared" si="1"/>
        <v>#N/A</v>
      </c>
      <c r="V6" s="185" t="e">
        <f t="shared" si="1"/>
        <v>#N/A</v>
      </c>
      <c r="W6" s="185" t="e">
        <f t="shared" si="1"/>
        <v>#N/A</v>
      </c>
      <c r="X6" s="185" t="e">
        <f t="shared" si="1"/>
        <v>#N/A</v>
      </c>
      <c r="Y6" s="185" t="e">
        <f t="shared" si="1"/>
        <v>#N/A</v>
      </c>
      <c r="Z6" s="185" t="e">
        <f t="shared" si="1"/>
        <v>#N/A</v>
      </c>
      <c r="AA6" s="185" t="e">
        <f t="shared" si="1"/>
        <v>#N/A</v>
      </c>
      <c r="AB6" s="185">
        <f t="shared" si="1"/>
        <v>4</v>
      </c>
      <c r="AC6" s="185" t="e">
        <f t="shared" si="1"/>
        <v>#N/A</v>
      </c>
      <c r="AD6" s="185" t="e">
        <f t="shared" si="1"/>
        <v>#N/A</v>
      </c>
      <c r="AE6" s="185" t="e">
        <f t="shared" si="1"/>
        <v>#N/A</v>
      </c>
      <c r="AF6" s="185" t="e">
        <f t="shared" si="1"/>
        <v>#N/A</v>
      </c>
      <c r="AG6" s="185" t="e">
        <f t="shared" si="1"/>
        <v>#N/A</v>
      </c>
      <c r="AH6" s="185" t="e">
        <f t="shared" si="1"/>
        <v>#N/A</v>
      </c>
      <c r="AI6" s="185" t="e">
        <f t="shared" si="1"/>
        <v>#N/A</v>
      </c>
      <c r="AJ6" s="185" t="e">
        <f t="shared" si="1"/>
        <v>#N/A</v>
      </c>
      <c r="AK6" s="185" t="e">
        <f t="shared" si="1"/>
        <v>#N/A</v>
      </c>
      <c r="AL6" s="185" t="e">
        <f t="shared" si="1"/>
        <v>#N/A</v>
      </c>
      <c r="AM6" s="185" t="e">
        <f t="shared" si="1"/>
        <v>#N/A</v>
      </c>
      <c r="AN6" s="185" t="e">
        <f t="shared" si="1"/>
        <v>#N/A</v>
      </c>
      <c r="AO6" s="185" t="e">
        <f t="shared" si="1"/>
        <v>#N/A</v>
      </c>
      <c r="AP6" s="185" t="e">
        <f t="shared" si="1"/>
        <v>#N/A</v>
      </c>
      <c r="AQ6" s="185" t="e">
        <f t="shared" si="1"/>
        <v>#N/A</v>
      </c>
      <c r="AR6" s="185" t="e">
        <f t="shared" si="1"/>
        <v>#N/A</v>
      </c>
      <c r="AS6" s="185" t="e">
        <f t="shared" si="1"/>
        <v>#N/A</v>
      </c>
      <c r="AT6" s="185" t="e">
        <f t="shared" si="1"/>
        <v>#N/A</v>
      </c>
      <c r="AU6" s="185" t="e">
        <f t="shared" si="1"/>
        <v>#N/A</v>
      </c>
      <c r="AV6" s="185">
        <f t="shared" si="1"/>
        <v>5</v>
      </c>
    </row>
    <row r="7" spans="1:48" s="185" customFormat="1">
      <c r="A7" s="185" t="s">
        <v>16</v>
      </c>
      <c r="C7" s="185">
        <v>-1</v>
      </c>
      <c r="D7" s="185">
        <v>0</v>
      </c>
      <c r="E7" s="185">
        <v>1</v>
      </c>
      <c r="F7" s="185">
        <v>2</v>
      </c>
      <c r="G7" s="185">
        <v>3</v>
      </c>
      <c r="H7" s="185">
        <v>4</v>
      </c>
      <c r="I7" s="185" t="s">
        <v>391</v>
      </c>
      <c r="J7" s="185">
        <f>MATCH(J$4,$D$6:$H$6,$C7)</f>
        <v>5</v>
      </c>
      <c r="K7" s="185">
        <f t="shared" ref="K7:AV7" si="2">MATCH(K$4,$D$6:$H$6,$C7)</f>
        <v>4</v>
      </c>
      <c r="L7" s="185">
        <f t="shared" si="2"/>
        <v>4</v>
      </c>
      <c r="M7" s="185">
        <f t="shared" si="2"/>
        <v>4</v>
      </c>
      <c r="N7" s="185">
        <f t="shared" si="2"/>
        <v>4</v>
      </c>
      <c r="O7" s="185">
        <f t="shared" si="2"/>
        <v>4</v>
      </c>
      <c r="P7" s="185">
        <f t="shared" si="2"/>
        <v>3</v>
      </c>
      <c r="Q7" s="185">
        <f t="shared" si="2"/>
        <v>3</v>
      </c>
      <c r="R7" s="185">
        <f t="shared" si="2"/>
        <v>3</v>
      </c>
      <c r="S7" s="185">
        <f t="shared" si="2"/>
        <v>2</v>
      </c>
      <c r="T7" s="185">
        <f t="shared" si="2"/>
        <v>2</v>
      </c>
      <c r="U7" s="185">
        <f t="shared" si="2"/>
        <v>2</v>
      </c>
      <c r="V7" s="185">
        <f t="shared" si="2"/>
        <v>2</v>
      </c>
      <c r="W7" s="185">
        <f t="shared" si="2"/>
        <v>2</v>
      </c>
      <c r="X7" s="185">
        <f t="shared" si="2"/>
        <v>2</v>
      </c>
      <c r="Y7" s="185">
        <f t="shared" si="2"/>
        <v>2</v>
      </c>
      <c r="Z7" s="185">
        <f t="shared" si="2"/>
        <v>2</v>
      </c>
      <c r="AA7" s="185">
        <f t="shared" si="2"/>
        <v>2</v>
      </c>
      <c r="AB7" s="185">
        <f t="shared" si="2"/>
        <v>2</v>
      </c>
      <c r="AC7" s="185">
        <f t="shared" si="2"/>
        <v>1</v>
      </c>
      <c r="AD7" s="185">
        <f t="shared" si="2"/>
        <v>1</v>
      </c>
      <c r="AE7" s="185">
        <f t="shared" si="2"/>
        <v>1</v>
      </c>
      <c r="AF7" s="185">
        <f t="shared" si="2"/>
        <v>1</v>
      </c>
      <c r="AG7" s="185">
        <f t="shared" si="2"/>
        <v>1</v>
      </c>
      <c r="AH7" s="185">
        <f t="shared" si="2"/>
        <v>1</v>
      </c>
      <c r="AI7" s="185">
        <f t="shared" si="2"/>
        <v>1</v>
      </c>
      <c r="AJ7" s="185">
        <f t="shared" si="2"/>
        <v>1</v>
      </c>
      <c r="AK7" s="185">
        <f t="shared" si="2"/>
        <v>1</v>
      </c>
      <c r="AL7" s="185">
        <f t="shared" si="2"/>
        <v>1</v>
      </c>
      <c r="AM7" s="185">
        <f t="shared" si="2"/>
        <v>1</v>
      </c>
      <c r="AN7" s="185">
        <f t="shared" si="2"/>
        <v>1</v>
      </c>
      <c r="AO7" s="185">
        <f t="shared" si="2"/>
        <v>1</v>
      </c>
      <c r="AP7" s="185">
        <f t="shared" si="2"/>
        <v>1</v>
      </c>
      <c r="AQ7" s="185">
        <f t="shared" si="2"/>
        <v>1</v>
      </c>
      <c r="AR7" s="185">
        <f t="shared" si="2"/>
        <v>1</v>
      </c>
      <c r="AS7" s="185">
        <f t="shared" si="2"/>
        <v>1</v>
      </c>
      <c r="AT7" s="185">
        <f t="shared" si="2"/>
        <v>1</v>
      </c>
      <c r="AU7" s="185">
        <f t="shared" si="2"/>
        <v>1</v>
      </c>
      <c r="AV7" s="185">
        <f t="shared" si="2"/>
        <v>1</v>
      </c>
    </row>
    <row r="8" spans="1:48" s="185" customFormat="1">
      <c r="A8" s="185" t="s">
        <v>16</v>
      </c>
      <c r="I8" s="185" t="s">
        <v>394</v>
      </c>
      <c r="J8" s="5">
        <f>IF(ISNA(J5),-1,IF(ISNA(J7),99,IF(ISNA(J6),J5,0)))</f>
        <v>0</v>
      </c>
      <c r="K8" s="5">
        <f t="shared" ref="K8:AV8" si="3">IF(ISNA(K5),-1,IF(ISNA(K7),99,IF(ISNA(K6),K5,0)))</f>
        <v>1</v>
      </c>
      <c r="L8" s="5">
        <f t="shared" si="3"/>
        <v>1</v>
      </c>
      <c r="M8" s="5">
        <v>1</v>
      </c>
      <c r="N8" s="5">
        <v>1</v>
      </c>
      <c r="O8" s="5">
        <v>0</v>
      </c>
      <c r="P8" s="5">
        <f t="shared" si="3"/>
        <v>2</v>
      </c>
      <c r="Q8" s="5">
        <f t="shared" si="3"/>
        <v>2</v>
      </c>
      <c r="R8" s="5">
        <f t="shared" si="3"/>
        <v>0</v>
      </c>
      <c r="S8" s="5">
        <f t="shared" si="3"/>
        <v>3</v>
      </c>
      <c r="T8" s="5">
        <f t="shared" si="3"/>
        <v>3</v>
      </c>
      <c r="U8" s="5">
        <f t="shared" si="3"/>
        <v>3</v>
      </c>
      <c r="V8" s="5">
        <f t="shared" si="3"/>
        <v>3</v>
      </c>
      <c r="W8" s="5">
        <f t="shared" si="3"/>
        <v>3</v>
      </c>
      <c r="X8" s="5">
        <f t="shared" si="3"/>
        <v>3</v>
      </c>
      <c r="Y8" s="5">
        <f t="shared" si="3"/>
        <v>3</v>
      </c>
      <c r="Z8" s="5">
        <f t="shared" si="3"/>
        <v>3</v>
      </c>
      <c r="AA8" s="5">
        <f t="shared" si="3"/>
        <v>3</v>
      </c>
      <c r="AB8" s="5">
        <f t="shared" si="3"/>
        <v>0</v>
      </c>
      <c r="AC8" s="5">
        <f t="shared" si="3"/>
        <v>4</v>
      </c>
      <c r="AD8" s="5">
        <f t="shared" si="3"/>
        <v>4</v>
      </c>
      <c r="AE8" s="5">
        <f t="shared" si="3"/>
        <v>4</v>
      </c>
      <c r="AF8" s="5">
        <f t="shared" si="3"/>
        <v>4</v>
      </c>
      <c r="AG8" s="5">
        <f t="shared" si="3"/>
        <v>4</v>
      </c>
      <c r="AH8" s="5">
        <f t="shared" si="3"/>
        <v>4</v>
      </c>
      <c r="AI8" s="5">
        <f t="shared" si="3"/>
        <v>4</v>
      </c>
      <c r="AJ8" s="5">
        <f t="shared" si="3"/>
        <v>4</v>
      </c>
      <c r="AK8" s="5">
        <f t="shared" si="3"/>
        <v>4</v>
      </c>
      <c r="AL8" s="5">
        <f t="shared" si="3"/>
        <v>4</v>
      </c>
      <c r="AM8" s="5">
        <f t="shared" si="3"/>
        <v>4</v>
      </c>
      <c r="AN8" s="5">
        <f t="shared" si="3"/>
        <v>4</v>
      </c>
      <c r="AO8" s="5">
        <f t="shared" si="3"/>
        <v>4</v>
      </c>
      <c r="AP8" s="5">
        <f t="shared" si="3"/>
        <v>4</v>
      </c>
      <c r="AQ8" s="5">
        <f t="shared" si="3"/>
        <v>4</v>
      </c>
      <c r="AR8" s="5">
        <f t="shared" si="3"/>
        <v>4</v>
      </c>
      <c r="AS8" s="5">
        <f t="shared" si="3"/>
        <v>4</v>
      </c>
      <c r="AT8" s="5">
        <f t="shared" si="3"/>
        <v>4</v>
      </c>
      <c r="AU8" s="5">
        <f t="shared" si="3"/>
        <v>4</v>
      </c>
      <c r="AV8" s="5">
        <f t="shared" si="3"/>
        <v>0</v>
      </c>
    </row>
    <row r="9" spans="1:48">
      <c r="A9" s="185" t="s">
        <v>16</v>
      </c>
      <c r="B9" s="87" t="s">
        <v>9</v>
      </c>
      <c r="C9" s="87" t="s">
        <v>10</v>
      </c>
      <c r="J9" s="86"/>
      <c r="K9" s="87"/>
    </row>
    <row r="10" spans="1:48">
      <c r="A10" s="185" t="s">
        <v>16</v>
      </c>
      <c r="B10" s="264" t="s">
        <v>4</v>
      </c>
      <c r="C10" s="87" t="s">
        <v>3</v>
      </c>
      <c r="E10" s="87">
        <f>MATCH(B10,Drivers!A7:A22,0)</f>
        <v>2</v>
      </c>
      <c r="J10" s="186">
        <f>INDEX(Drivers!$C$7:$AG$22,$E$10,J3)</f>
        <v>1833.85</v>
      </c>
      <c r="K10" s="186">
        <f>INDEX(Drivers!$C$7:$AG$22,$E$10,K3)</f>
        <v>1884.55</v>
      </c>
      <c r="L10" s="186">
        <f>INDEX(Drivers!$C$7:$AG$22,$E$10,L3)</f>
        <v>1927.88</v>
      </c>
      <c r="M10" s="186">
        <f>INDEX(Drivers!$C$7:$AG$22,$E$10,M3)</f>
        <v>1957.41</v>
      </c>
      <c r="N10" s="186">
        <f>INDEX(Drivers!$C$7:$AG$22,$E$10,N3)</f>
        <v>1982.72</v>
      </c>
      <c r="O10" s="186">
        <f>INDEX(Drivers!$C$7:$AG$22,$E$10,O3)</f>
        <v>2007.4</v>
      </c>
      <c r="P10" s="186">
        <f>INDEX(Drivers!$C$7:$AG$22,$E$10,P3)</f>
        <v>2036.6</v>
      </c>
      <c r="Q10" s="186">
        <f>INDEX(Drivers!$C$7:$AG$22,$E$10,Q3)</f>
        <v>2071.14</v>
      </c>
      <c r="R10" s="186">
        <f>INDEX(Drivers!$C$7:$AG$22,$E$10,R3)</f>
        <v>1915.6</v>
      </c>
      <c r="S10" s="186">
        <f>INDEX(Drivers!$C$7:$AG$22,$E$10,S3)</f>
        <v>1960.19</v>
      </c>
      <c r="T10" s="186">
        <f>INDEX(Drivers!$C$7:$AG$22,$E$10,T3)</f>
        <v>2004.23</v>
      </c>
      <c r="U10" s="186">
        <f>INDEX(Drivers!$C$7:$AG$22,$E$10,U3)</f>
        <v>2048.11</v>
      </c>
      <c r="V10" s="186">
        <f>INDEX(Drivers!$C$7:$AG$22,$E$10,V3)</f>
        <v>2091.16</v>
      </c>
      <c r="W10" s="186">
        <f>INDEX(Drivers!$C$7:$AG$22,$E$10,W3)</f>
        <v>2135.91</v>
      </c>
      <c r="X10" s="186">
        <f>INDEX(Drivers!$C$7:$AG$22,$E$10,X3)</f>
        <v>2188.48</v>
      </c>
      <c r="Y10" s="186">
        <f>INDEX(Drivers!$C$7:$AG$22,$E$10,Y3)</f>
        <v>2240.58</v>
      </c>
      <c r="Z10" s="186">
        <f>INDEX(Drivers!$C$7:$AG$22,$E$10,Z3)</f>
        <v>2295.15</v>
      </c>
      <c r="AA10" s="186">
        <f>INDEX(Drivers!$C$7:$AG$22,$E$10,AA3)</f>
        <v>2351.59</v>
      </c>
      <c r="AB10" s="186">
        <f>INDEX(Drivers!$C$7:$AG$22,$E$10,AB3)</f>
        <v>2409.79</v>
      </c>
      <c r="AC10" s="186">
        <f>INDEX(Drivers!$C$7:$AG$22,$E$10,AC3)</f>
        <v>2477.56</v>
      </c>
      <c r="AD10" s="186">
        <f>INDEX(Drivers!$C$7:$AG$22,$E$10,AD3)</f>
        <v>2544.31</v>
      </c>
      <c r="AE10" s="186">
        <f>INDEX(Drivers!$C$7:$AG$22,$E$10,AE3)</f>
        <v>2617.34</v>
      </c>
      <c r="AF10" s="186">
        <f>INDEX(Drivers!$C$7:$AG$22,$E$10,AF3)</f>
        <v>2695.68</v>
      </c>
      <c r="AG10" s="186">
        <f>INDEX(Drivers!$C$7:$AG$22,$E$10,AG3)</f>
        <v>2779.08</v>
      </c>
      <c r="AH10" s="186">
        <f>INDEX(Drivers!$C$7:$AG$22,$E$10,AH3)</f>
        <v>2866.42</v>
      </c>
      <c r="AI10" s="186">
        <f>INDEX(Drivers!$C$7:$AG$22,$E$10,AI3)</f>
        <v>2957.38</v>
      </c>
      <c r="AJ10" s="186">
        <f>INDEX(Drivers!$C$7:$AG$22,$E$10,AJ3)</f>
        <v>3050.01</v>
      </c>
      <c r="AK10" s="186">
        <f>INDEX(Drivers!$C$7:$AG$22,$E$10,AK3)</f>
        <v>3146.53</v>
      </c>
      <c r="AL10" s="186">
        <f>INDEX(Drivers!$C$7:$AG$22,$E$10,AL3)</f>
        <v>3249.04</v>
      </c>
      <c r="AM10" s="186">
        <f>(AQ10-AL10)/5+AL10</f>
        <v>3365.5160000000001</v>
      </c>
      <c r="AN10" s="186">
        <f>(AQ10-AL10)/5+AM10</f>
        <v>3481.9920000000002</v>
      </c>
      <c r="AO10" s="186">
        <f>(AQ10-AL10)/5+AN10</f>
        <v>3598.4680000000003</v>
      </c>
      <c r="AP10" s="186">
        <f>(AQ10-AL10)/5+AO10</f>
        <v>3714.9440000000004</v>
      </c>
      <c r="AQ10" s="186">
        <f>INDEX(Drivers!$C$7:$AG$22,$E$10,AQ3)</f>
        <v>3831.42</v>
      </c>
      <c r="AR10" s="186">
        <f>(AV10-AQ10)/5+AQ10</f>
        <v>3977.1440000000002</v>
      </c>
      <c r="AS10" s="186">
        <f>(AV10-AQ10)/5+AR10</f>
        <v>4122.8680000000004</v>
      </c>
      <c r="AT10" s="186">
        <f>(AV10-AQ10)/5+AS10</f>
        <v>4268.5920000000006</v>
      </c>
      <c r="AU10" s="186">
        <f>(AV10-AQ10)/5+AT10</f>
        <v>4414.3160000000007</v>
      </c>
      <c r="AV10" s="186">
        <f>INDEX(Drivers!$C$7:$AG$22,$E$10,AV3)</f>
        <v>4560.04</v>
      </c>
    </row>
    <row r="11" spans="1:48">
      <c r="A11" s="185" t="s">
        <v>16</v>
      </c>
      <c r="B11" s="90" t="s">
        <v>227</v>
      </c>
      <c r="C11" s="91"/>
      <c r="D11" s="91"/>
      <c r="E11" s="91"/>
      <c r="F11" s="91"/>
      <c r="G11" s="91"/>
      <c r="H11" s="91"/>
      <c r="I11" s="91"/>
      <c r="J11" s="265" t="str">
        <f t="shared" ref="J11:AV11" si="4">INDEX($C$14:$C$18,MATCH(J$12,$B$14:$B$18,0))</f>
        <v>A</v>
      </c>
      <c r="K11" s="265" t="str">
        <f t="shared" si="4"/>
        <v>A</v>
      </c>
      <c r="L11" s="265" t="str">
        <f t="shared" si="4"/>
        <v>A</v>
      </c>
      <c r="M11" s="265" t="str">
        <f t="shared" si="4"/>
        <v>A</v>
      </c>
      <c r="N11" s="265" t="str">
        <f t="shared" si="4"/>
        <v>A</v>
      </c>
      <c r="O11" s="265" t="str">
        <f t="shared" si="4"/>
        <v>A</v>
      </c>
      <c r="P11" s="265" t="str">
        <f t="shared" si="4"/>
        <v>B</v>
      </c>
      <c r="Q11" s="265" t="str">
        <f t="shared" si="4"/>
        <v>B</v>
      </c>
      <c r="R11" s="265" t="str">
        <f t="shared" si="4"/>
        <v>B</v>
      </c>
      <c r="S11" s="265" t="str">
        <f t="shared" si="4"/>
        <v>B</v>
      </c>
      <c r="T11" s="265" t="str">
        <f t="shared" si="4"/>
        <v>B</v>
      </c>
      <c r="U11" s="265" t="str">
        <f t="shared" si="4"/>
        <v>B</v>
      </c>
      <c r="V11" s="265" t="str">
        <f t="shared" si="4"/>
        <v>B</v>
      </c>
      <c r="W11" s="265" t="str">
        <f t="shared" si="4"/>
        <v>B</v>
      </c>
      <c r="X11" s="265" t="str">
        <f t="shared" si="4"/>
        <v>B</v>
      </c>
      <c r="Y11" s="265" t="str">
        <f t="shared" si="4"/>
        <v>B</v>
      </c>
      <c r="Z11" s="265" t="str">
        <f t="shared" si="4"/>
        <v>B</v>
      </c>
      <c r="AA11" s="265" t="str">
        <f t="shared" si="4"/>
        <v>B</v>
      </c>
      <c r="AB11" s="265" t="str">
        <f t="shared" si="4"/>
        <v>B</v>
      </c>
      <c r="AC11" s="265" t="str">
        <f t="shared" si="4"/>
        <v>C</v>
      </c>
      <c r="AD11" s="265" t="str">
        <f t="shared" si="4"/>
        <v>C</v>
      </c>
      <c r="AE11" s="265" t="str">
        <f t="shared" si="4"/>
        <v>C</v>
      </c>
      <c r="AF11" s="265" t="str">
        <f t="shared" si="4"/>
        <v>C</v>
      </c>
      <c r="AG11" s="265" t="str">
        <f t="shared" si="4"/>
        <v>C</v>
      </c>
      <c r="AH11" s="265" t="str">
        <f t="shared" si="4"/>
        <v>C</v>
      </c>
      <c r="AI11" s="265" t="str">
        <f t="shared" si="4"/>
        <v>C</v>
      </c>
      <c r="AJ11" s="265" t="str">
        <f t="shared" si="4"/>
        <v>C</v>
      </c>
      <c r="AK11" s="265" t="str">
        <f t="shared" si="4"/>
        <v>C</v>
      </c>
      <c r="AL11" s="265" t="str">
        <f t="shared" si="4"/>
        <v>C</v>
      </c>
      <c r="AM11" s="265" t="str">
        <f t="shared" si="4"/>
        <v>D</v>
      </c>
      <c r="AN11" s="265" t="str">
        <f t="shared" si="4"/>
        <v>D</v>
      </c>
      <c r="AO11" s="265" t="str">
        <f t="shared" si="4"/>
        <v>D</v>
      </c>
      <c r="AP11" s="265" t="str">
        <f t="shared" si="4"/>
        <v>D</v>
      </c>
      <c r="AQ11" s="265" t="str">
        <f t="shared" si="4"/>
        <v>D</v>
      </c>
      <c r="AR11" s="265" t="str">
        <f t="shared" si="4"/>
        <v>D</v>
      </c>
      <c r="AS11" s="265" t="str">
        <f t="shared" si="4"/>
        <v>D</v>
      </c>
      <c r="AT11" s="265" t="str">
        <f t="shared" si="4"/>
        <v>D</v>
      </c>
      <c r="AU11" s="265" t="str">
        <f t="shared" si="4"/>
        <v>D</v>
      </c>
      <c r="AV11" s="265" t="str">
        <f t="shared" si="4"/>
        <v>D</v>
      </c>
    </row>
    <row r="12" spans="1:48">
      <c r="A12" s="185" t="s">
        <v>16</v>
      </c>
      <c r="B12" s="264"/>
      <c r="J12" s="86">
        <f t="array" ref="J12">SUM($B$14:$B$18*(J4&gt;=$D$14:$D$18)*(J4&lt;=$E$14:$E$18))</f>
        <v>1</v>
      </c>
      <c r="K12" s="86">
        <f t="array" ref="K12">SUM($B$14:$B$17*(K4&gt;=$D$14:$D$17)*(K4&lt;=$E$14:$E$17))</f>
        <v>1</v>
      </c>
      <c r="L12" s="86">
        <f t="array" ref="L12">SUM($B$14:$B$17*(L4&gt;=$D$14:$D$17)*(L4&lt;=$E$14:$E$17))</f>
        <v>1</v>
      </c>
      <c r="M12" s="86">
        <f t="array" ref="M12">SUM($B$14:$B$17*(M4&gt;=$D$14:$D$17)*(M4&lt;=$E$14:$E$17))</f>
        <v>1</v>
      </c>
      <c r="N12" s="86">
        <f t="array" ref="N12">SUM($B$14:$B$17*(N4&gt;=$D$14:$D$17)*(N4&lt;=$E$14:$E$17))</f>
        <v>1</v>
      </c>
      <c r="O12" s="86">
        <f t="array" ref="O12">SUM($B$14:$B$17*(O4&gt;=$D$14:$D$17)*(O4&lt;=$E$14:$E$17))</f>
        <v>1</v>
      </c>
      <c r="P12" s="86">
        <f t="array" ref="P12">SUM($B$14:$B$17*(P4&gt;=$D$14:$D$17)*(P4&lt;=$E$14:$E$17))</f>
        <v>2</v>
      </c>
      <c r="Q12" s="86">
        <f t="array" ref="Q12">SUM($B$14:$B$17*(Q4&gt;=$D$14:$D$17)*(Q4&lt;=$E$14:$E$17))</f>
        <v>2</v>
      </c>
      <c r="R12" s="86">
        <f t="array" ref="R12">SUM($B$14:$B$17*(R4&gt;=$D$14:$D$17)*(R4&lt;=$E$14:$E$17))</f>
        <v>2</v>
      </c>
      <c r="S12" s="86">
        <f t="array" ref="S12">SUM($B$14:$B$17*(S4&gt;=$D$14:$D$17)*(S4&lt;=$E$14:$E$17))</f>
        <v>2</v>
      </c>
      <c r="T12" s="86">
        <f t="array" ref="T12">SUM($B$14:$B$17*(T4&gt;=$D$14:$D$17)*(T4&lt;=$E$14:$E$17))</f>
        <v>2</v>
      </c>
      <c r="U12" s="86">
        <f t="array" ref="U12">SUM($B$14:$B$17*(U4&gt;=$D$14:$D$17)*(U4&lt;=$E$14:$E$17))</f>
        <v>2</v>
      </c>
      <c r="V12" s="86">
        <f t="array" ref="V12">SUM($B$14:$B$17*(V4&gt;=$D$14:$D$17)*(V4&lt;=$E$14:$E$17))</f>
        <v>2</v>
      </c>
      <c r="W12" s="86">
        <f t="array" ref="W12">SUM($B$14:$B$17*(W4&gt;=$D$14:$D$17)*(W4&lt;=$E$14:$E$17))</f>
        <v>2</v>
      </c>
      <c r="X12" s="86">
        <f t="array" ref="X12">SUM($B$14:$B$17*(X4&gt;=$D$14:$D$17)*(X4&lt;=$E$14:$E$17))</f>
        <v>2</v>
      </c>
      <c r="Y12" s="86">
        <f t="array" ref="Y12">SUM($B$14:$B$17*(Y4&gt;=$D$14:$D$17)*(Y4&lt;=$E$14:$E$17))</f>
        <v>2</v>
      </c>
      <c r="Z12" s="86">
        <f t="array" ref="Z12">SUM($B$14:$B$17*(Z4&gt;=$D$14:$D$17)*(Z4&lt;=$E$14:$E$17))</f>
        <v>2</v>
      </c>
      <c r="AA12" s="86">
        <f t="array" ref="AA12">SUM($B$14:$B$17*(AA4&gt;=$D$14:$D$17)*(AA4&lt;=$E$14:$E$17))</f>
        <v>2</v>
      </c>
      <c r="AB12" s="86">
        <f t="array" ref="AB12">SUM($B$14:$B$17*(AB4&gt;=$D$14:$D$17)*(AB4&lt;=$E$14:$E$17))</f>
        <v>2</v>
      </c>
      <c r="AC12" s="86">
        <f t="array" ref="AC12">SUM($B$14:$B$17*(AC4&gt;=$D$14:$D$17)*(AC4&lt;=$E$14:$E$17))</f>
        <v>3</v>
      </c>
      <c r="AD12" s="86">
        <f t="array" ref="AD12">SUM($B$14:$B$17*(AD4&gt;=$D$14:$D$17)*(AD4&lt;=$E$14:$E$17))</f>
        <v>3</v>
      </c>
      <c r="AE12" s="86">
        <f t="array" ref="AE12">SUM($B$14:$B$17*(AE4&gt;=$D$14:$D$17)*(AE4&lt;=$E$14:$E$17))</f>
        <v>3</v>
      </c>
      <c r="AF12" s="86">
        <f t="array" ref="AF12">SUM($B$14:$B$17*(AF4&gt;=$D$14:$D$17)*(AF4&lt;=$E$14:$E$17))</f>
        <v>3</v>
      </c>
      <c r="AG12" s="86">
        <f t="array" ref="AG12">SUM($B$14:$B$17*(AG4&gt;=$D$14:$D$17)*(AG4&lt;=$E$14:$E$17))</f>
        <v>3</v>
      </c>
      <c r="AH12" s="86">
        <f t="array" ref="AH12">SUM($B$14:$B$17*(AH4&gt;=$D$14:$D$17)*(AH4&lt;=$E$14:$E$17))</f>
        <v>3</v>
      </c>
      <c r="AI12" s="86">
        <f t="array" ref="AI12">SUM($B$14:$B$17*(AI4&gt;=$D$14:$D$17)*(AI4&lt;=$E$14:$E$17))</f>
        <v>3</v>
      </c>
      <c r="AJ12" s="86">
        <f t="array" ref="AJ12">SUM($B$14:$B$17*(AJ4&gt;=$D$14:$D$17)*(AJ4&lt;=$E$14:$E$17))</f>
        <v>3</v>
      </c>
      <c r="AK12" s="86">
        <f t="array" ref="AK12">SUM($B$14:$B$17*(AK4&gt;=$D$14:$D$17)*(AK4&lt;=$E$14:$E$17))</f>
        <v>3</v>
      </c>
      <c r="AL12" s="86">
        <f t="array" ref="AL12">SUM($B$14:$B$17*(AL4&gt;=$D$14:$D$17)*(AL4&lt;=$E$14:$E$17))</f>
        <v>3</v>
      </c>
      <c r="AM12" s="86">
        <f t="array" ref="AM12">SUM($B$14:$B$17*(AM4&gt;=$D$14:$D$17)*(AM4&lt;=$E$14:$E$17))</f>
        <v>4</v>
      </c>
      <c r="AN12" s="86">
        <f t="array" ref="AN12">SUM($B$14:$B$17*(AN4&gt;=$D$14:$D$17)*(AN4&lt;=$E$14:$E$17))</f>
        <v>4</v>
      </c>
      <c r="AO12" s="86">
        <f t="array" ref="AO12">SUM($B$14:$B$17*(AO4&gt;=$D$14:$D$17)*(AO4&lt;=$E$14:$E$17))</f>
        <v>4</v>
      </c>
      <c r="AP12" s="86">
        <f t="array" ref="AP12">SUM($B$14:$B$17*(AP4&gt;=$D$14:$D$17)*(AP4&lt;=$E$14:$E$17))</f>
        <v>4</v>
      </c>
      <c r="AQ12" s="86">
        <f t="array" ref="AQ12">SUM($B$14:$B$17*(AQ4&gt;=$D$14:$D$17)*(AQ4&lt;=$E$14:$E$17))</f>
        <v>4</v>
      </c>
      <c r="AR12" s="86">
        <f t="array" ref="AR12">SUM($B$14:$B$17*(AR4&gt;=$D$14:$D$17)*(AR4&lt;=$E$14:$E$17))</f>
        <v>4</v>
      </c>
      <c r="AS12" s="86">
        <f t="array" ref="AS12">SUM($B$14:$B$17*(AS4&gt;=$D$14:$D$17)*(AS4&lt;=$E$14:$E$17))</f>
        <v>4</v>
      </c>
      <c r="AT12" s="86">
        <f t="array" ref="AT12">SUM($B$14:$B$17*(AT4&gt;=$D$14:$D$17)*(AT4&lt;=$E$14:$E$17))</f>
        <v>4</v>
      </c>
      <c r="AU12" s="86">
        <f t="array" ref="AU12">SUM($B$14:$B$17*(AU4&gt;=$D$14:$D$17)*(AU4&lt;=$E$14:$E$17))</f>
        <v>4</v>
      </c>
      <c r="AV12" s="86">
        <f t="array" ref="AV12">SUM($B$14:$B$17*(AV4&gt;=$D$14:$D$17)*(AV4&lt;=$E$14:$E$17))</f>
        <v>4</v>
      </c>
    </row>
    <row r="13" spans="1:48">
      <c r="A13" s="185" t="s">
        <v>16</v>
      </c>
      <c r="B13" s="326" t="s">
        <v>228</v>
      </c>
      <c r="C13" s="327"/>
      <c r="D13" s="87" t="s">
        <v>229</v>
      </c>
      <c r="E13" s="87" t="s">
        <v>230</v>
      </c>
      <c r="J13" s="86"/>
      <c r="K13" s="87"/>
    </row>
    <row r="14" spans="1:48">
      <c r="A14" s="185" t="s">
        <v>16</v>
      </c>
      <c r="B14" s="264">
        <v>1</v>
      </c>
      <c r="C14" s="87" t="s">
        <v>109</v>
      </c>
      <c r="D14" s="92">
        <v>2012</v>
      </c>
      <c r="E14" s="92">
        <f>D14+5</f>
        <v>2017</v>
      </c>
      <c r="J14" s="86"/>
      <c r="K14" s="87"/>
      <c r="P14" s="87">
        <f>P10/O10</f>
        <v>1.0145461791371924</v>
      </c>
      <c r="Q14" s="87">
        <f t="shared" ref="Q14:T14" si="5">Q10/P10</f>
        <v>1.0169596386133752</v>
      </c>
      <c r="R14" s="87">
        <f t="shared" si="5"/>
        <v>0.92490126210685908</v>
      </c>
      <c r="S14" s="87">
        <f t="shared" si="5"/>
        <v>1.0232773021507622</v>
      </c>
      <c r="T14" s="87">
        <f t="shared" si="5"/>
        <v>1.0224672098112937</v>
      </c>
    </row>
    <row r="15" spans="1:48">
      <c r="A15" s="185" t="s">
        <v>16</v>
      </c>
      <c r="B15" s="264">
        <v>2</v>
      </c>
      <c r="C15" s="87" t="s">
        <v>231</v>
      </c>
      <c r="D15" s="92">
        <f>E14+1</f>
        <v>2018</v>
      </c>
      <c r="E15" s="92">
        <v>2030</v>
      </c>
      <c r="J15" s="86"/>
      <c r="K15" s="87"/>
    </row>
    <row r="16" spans="1:48">
      <c r="A16" s="185" t="s">
        <v>16</v>
      </c>
      <c r="B16" s="264">
        <v>3</v>
      </c>
      <c r="C16" s="87" t="s">
        <v>112</v>
      </c>
      <c r="D16" s="92">
        <v>2031</v>
      </c>
      <c r="E16" s="92">
        <v>2040</v>
      </c>
      <c r="J16" s="86"/>
      <c r="K16" s="87"/>
    </row>
    <row r="17" spans="1:48">
      <c r="A17" s="185" t="s">
        <v>16</v>
      </c>
      <c r="B17" s="264">
        <v>4</v>
      </c>
      <c r="C17" s="87" t="s">
        <v>232</v>
      </c>
      <c r="D17" s="92">
        <v>2041</v>
      </c>
      <c r="E17" s="92">
        <v>2070</v>
      </c>
      <c r="J17" s="86"/>
      <c r="K17" s="87"/>
    </row>
    <row r="18" spans="1:48">
      <c r="A18" s="185" t="s">
        <v>16</v>
      </c>
      <c r="B18" s="264"/>
      <c r="J18" s="86"/>
      <c r="K18" s="87"/>
    </row>
    <row r="19" spans="1:48" ht="15.75" thickBot="1">
      <c r="A19" s="185" t="s">
        <v>16</v>
      </c>
      <c r="B19" s="84" t="s">
        <v>511</v>
      </c>
      <c r="C19" s="84" t="s">
        <v>233</v>
      </c>
      <c r="D19" s="84"/>
      <c r="E19" s="85"/>
      <c r="F19" s="85"/>
      <c r="G19" s="85"/>
      <c r="H19" s="85"/>
      <c r="I19" s="85"/>
      <c r="J19" s="86"/>
      <c r="K19" s="87"/>
    </row>
    <row r="20" spans="1:48">
      <c r="A20" s="185" t="s">
        <v>16</v>
      </c>
      <c r="B20" s="89">
        <f>'[6]SA GDP'!$I$30</f>
        <v>0.44318133021912642</v>
      </c>
      <c r="C20" s="93">
        <v>0.01</v>
      </c>
      <c r="J20" s="86"/>
      <c r="K20" s="87"/>
      <c r="L20" s="94"/>
      <c r="M20" s="94"/>
      <c r="N20" s="94"/>
      <c r="O20" s="94"/>
      <c r="P20" s="94"/>
      <c r="Q20" s="94"/>
      <c r="R20" s="94"/>
      <c r="S20" s="94"/>
      <c r="T20" s="94"/>
      <c r="U20" s="94"/>
      <c r="V20" s="94"/>
      <c r="W20" s="94"/>
      <c r="X20" s="94"/>
      <c r="Y20" s="94"/>
      <c r="Z20" s="94"/>
      <c r="AA20" s="94"/>
      <c r="AB20" s="94"/>
      <c r="AC20" s="94"/>
      <c r="AD20" s="94"/>
      <c r="AE20" s="94"/>
      <c r="AF20" s="94"/>
      <c r="AG20" s="94"/>
      <c r="AH20" s="94"/>
      <c r="AI20" s="94"/>
      <c r="AJ20" s="94"/>
      <c r="AK20" s="94"/>
      <c r="AL20" s="94"/>
      <c r="AM20" s="94"/>
      <c r="AN20" s="94"/>
      <c r="AO20" s="94"/>
      <c r="AP20" s="94"/>
      <c r="AQ20" s="94"/>
      <c r="AR20" s="94"/>
      <c r="AS20" s="94"/>
    </row>
    <row r="21" spans="1:48">
      <c r="A21" s="185" t="s">
        <v>16</v>
      </c>
      <c r="B21" s="264"/>
      <c r="J21" s="95"/>
      <c r="K21" s="96"/>
      <c r="L21" s="94"/>
      <c r="M21" s="94"/>
      <c r="N21" s="94"/>
      <c r="O21" s="94"/>
      <c r="P21" s="94"/>
      <c r="Q21" s="94"/>
      <c r="R21" s="94"/>
      <c r="S21" s="94"/>
      <c r="T21" s="94"/>
      <c r="U21" s="94"/>
      <c r="V21" s="94"/>
      <c r="W21" s="94"/>
      <c r="X21" s="94"/>
      <c r="Y21" s="94"/>
      <c r="Z21" s="94"/>
      <c r="AA21" s="94"/>
      <c r="AB21" s="94"/>
      <c r="AC21" s="94"/>
      <c r="AD21" s="94"/>
      <c r="AE21" s="94"/>
      <c r="AF21" s="94"/>
      <c r="AG21" s="94"/>
      <c r="AH21" s="94"/>
      <c r="AI21" s="94"/>
      <c r="AJ21" s="94"/>
      <c r="AK21" s="94"/>
      <c r="AL21" s="94"/>
      <c r="AM21" s="94"/>
      <c r="AN21" s="94"/>
      <c r="AO21" s="94"/>
      <c r="AP21" s="94"/>
      <c r="AQ21" s="94"/>
      <c r="AR21" s="94"/>
      <c r="AS21" s="94"/>
    </row>
    <row r="22" spans="1:48" ht="19.5" thickBot="1">
      <c r="A22" s="185" t="s">
        <v>16</v>
      </c>
      <c r="B22" s="166" t="s">
        <v>70</v>
      </c>
      <c r="C22" s="84"/>
      <c r="D22" s="84"/>
      <c r="E22" s="97">
        <v>2006</v>
      </c>
      <c r="F22" s="97">
        <v>2010</v>
      </c>
      <c r="G22" s="97">
        <v>2020</v>
      </c>
      <c r="H22" s="97">
        <v>2030</v>
      </c>
      <c r="I22" s="97">
        <v>2050</v>
      </c>
      <c r="J22" s="86">
        <f t="shared" ref="J22:AV22" si="6">J4</f>
        <v>2012</v>
      </c>
      <c r="K22" s="87">
        <f t="shared" si="6"/>
        <v>2013</v>
      </c>
      <c r="L22" s="87">
        <f t="shared" si="6"/>
        <v>2014</v>
      </c>
      <c r="M22" s="87">
        <f t="shared" si="6"/>
        <v>2015</v>
      </c>
      <c r="N22" s="87">
        <f t="shared" si="6"/>
        <v>2016</v>
      </c>
      <c r="O22" s="87">
        <f t="shared" si="6"/>
        <v>2017</v>
      </c>
      <c r="P22" s="87">
        <f t="shared" si="6"/>
        <v>2018</v>
      </c>
      <c r="Q22" s="87">
        <f t="shared" si="6"/>
        <v>2019</v>
      </c>
      <c r="R22" s="87">
        <f t="shared" si="6"/>
        <v>2020</v>
      </c>
      <c r="S22" s="87">
        <f t="shared" si="6"/>
        <v>2021</v>
      </c>
      <c r="T22" s="87">
        <f t="shared" si="6"/>
        <v>2022</v>
      </c>
      <c r="U22" s="87">
        <f t="shared" si="6"/>
        <v>2023</v>
      </c>
      <c r="V22" s="87">
        <f t="shared" si="6"/>
        <v>2024</v>
      </c>
      <c r="W22" s="87">
        <f t="shared" si="6"/>
        <v>2025</v>
      </c>
      <c r="X22" s="87">
        <f t="shared" si="6"/>
        <v>2026</v>
      </c>
      <c r="Y22" s="87">
        <f t="shared" si="6"/>
        <v>2027</v>
      </c>
      <c r="Z22" s="87">
        <f t="shared" si="6"/>
        <v>2028</v>
      </c>
      <c r="AA22" s="87">
        <f t="shared" si="6"/>
        <v>2029</v>
      </c>
      <c r="AB22" s="87">
        <f t="shared" si="6"/>
        <v>2030</v>
      </c>
      <c r="AC22" s="87">
        <f t="shared" si="6"/>
        <v>2031</v>
      </c>
      <c r="AD22" s="87">
        <f t="shared" si="6"/>
        <v>2032</v>
      </c>
      <c r="AE22" s="87">
        <f t="shared" si="6"/>
        <v>2033</v>
      </c>
      <c r="AF22" s="87">
        <f t="shared" si="6"/>
        <v>2034</v>
      </c>
      <c r="AG22" s="87">
        <f t="shared" si="6"/>
        <v>2035</v>
      </c>
      <c r="AH22" s="87">
        <f t="shared" si="6"/>
        <v>2036</v>
      </c>
      <c r="AI22" s="87">
        <f t="shared" si="6"/>
        <v>2037</v>
      </c>
      <c r="AJ22" s="87">
        <f t="shared" si="6"/>
        <v>2038</v>
      </c>
      <c r="AK22" s="87">
        <f t="shared" si="6"/>
        <v>2039</v>
      </c>
      <c r="AL22" s="87">
        <f t="shared" si="6"/>
        <v>2040</v>
      </c>
      <c r="AM22" s="87">
        <f t="shared" si="6"/>
        <v>2041</v>
      </c>
      <c r="AN22" s="87">
        <f t="shared" si="6"/>
        <v>2042</v>
      </c>
      <c r="AO22" s="87">
        <f t="shared" si="6"/>
        <v>2043</v>
      </c>
      <c r="AP22" s="87">
        <f t="shared" si="6"/>
        <v>2044</v>
      </c>
      <c r="AQ22" s="87">
        <f t="shared" si="6"/>
        <v>2045</v>
      </c>
      <c r="AR22" s="87">
        <f t="shared" si="6"/>
        <v>2046</v>
      </c>
      <c r="AS22" s="87">
        <f t="shared" si="6"/>
        <v>2047</v>
      </c>
      <c r="AT22" s="87">
        <f t="shared" si="6"/>
        <v>2048</v>
      </c>
      <c r="AU22" s="87">
        <f t="shared" si="6"/>
        <v>2049</v>
      </c>
      <c r="AV22" s="87">
        <f t="shared" si="6"/>
        <v>2050</v>
      </c>
    </row>
    <row r="23" spans="1:48">
      <c r="A23" s="185" t="s">
        <v>16</v>
      </c>
      <c r="B23" s="264" t="str">
        <f>B10</f>
        <v>COM</v>
      </c>
      <c r="C23" s="87" t="str">
        <f>C10</f>
        <v>Commercial</v>
      </c>
      <c r="D23" s="87" t="s">
        <v>71</v>
      </c>
      <c r="J23" s="218">
        <f>[6]Forecast!I$8</f>
        <v>132.81548999999998</v>
      </c>
      <c r="K23" s="218">
        <f>[6]Forecast!J$8</f>
        <v>134.00787499999998</v>
      </c>
      <c r="L23" s="218">
        <f>[6]Forecast!K$8</f>
        <v>135.598851</v>
      </c>
      <c r="M23" s="218">
        <f>[6]Forecast!L$8</f>
        <v>136.99421599999999</v>
      </c>
      <c r="N23" s="218">
        <f>[6]Forecast!M$8</f>
        <v>138.328236</v>
      </c>
      <c r="O23" s="219">
        <f>IF(O10/N10&lt;1,N23,(1+$B$20*(O10/N10-1))*N23)</f>
        <v>139.0913265289752</v>
      </c>
      <c r="P23" s="219">
        <f t="shared" ref="P23:AO23" si="7">IF(P10/O10&lt;1,O23,(1+$B$20*(P10/O10-1))*O23)</f>
        <v>139.98799198185014</v>
      </c>
      <c r="Q23" s="219">
        <f t="shared" si="7"/>
        <v>141.04016905534132</v>
      </c>
      <c r="R23" s="219">
        <f t="shared" si="7"/>
        <v>141.04016905534132</v>
      </c>
      <c r="S23" s="219">
        <f t="shared" si="7"/>
        <v>142.49514871003987</v>
      </c>
      <c r="T23" s="219">
        <f t="shared" si="7"/>
        <v>143.9139797356068</v>
      </c>
      <c r="U23" s="219">
        <f t="shared" si="7"/>
        <v>145.31035935086177</v>
      </c>
      <c r="V23" s="219">
        <f t="shared" si="7"/>
        <v>146.66398293115881</v>
      </c>
      <c r="W23" s="219">
        <f t="shared" si="7"/>
        <v>148.05493033476128</v>
      </c>
      <c r="X23" s="219">
        <f t="shared" si="7"/>
        <v>149.66988136905539</v>
      </c>
      <c r="Y23" s="219">
        <f t="shared" si="7"/>
        <v>151.24898638253208</v>
      </c>
      <c r="Z23" s="219">
        <f t="shared" si="7"/>
        <v>152.8815399049507</v>
      </c>
      <c r="AA23" s="219">
        <f t="shared" si="7"/>
        <v>154.54768353122117</v>
      </c>
      <c r="AB23" s="219">
        <f t="shared" si="7"/>
        <v>156.24282261236783</v>
      </c>
      <c r="AC23" s="219">
        <f t="shared" si="7"/>
        <v>158.19015380554288</v>
      </c>
      <c r="AD23" s="219">
        <f t="shared" si="7"/>
        <v>160.07896259173032</v>
      </c>
      <c r="AE23" s="219">
        <f t="shared" si="7"/>
        <v>162.11528712517043</v>
      </c>
      <c r="AF23" s="219">
        <f t="shared" si="7"/>
        <v>164.26573465964745</v>
      </c>
      <c r="AG23" s="219">
        <f t="shared" si="7"/>
        <v>166.51803421552086</v>
      </c>
      <c r="AH23" s="219">
        <f t="shared" si="7"/>
        <v>168.83732322937493</v>
      </c>
      <c r="AI23" s="219">
        <f t="shared" si="7"/>
        <v>171.21175962825166</v>
      </c>
      <c r="AJ23" s="219">
        <f t="shared" si="7"/>
        <v>173.58837871134585</v>
      </c>
      <c r="AK23" s="219">
        <f t="shared" si="7"/>
        <v>176.02292565752037</v>
      </c>
      <c r="AL23" s="219">
        <f t="shared" si="7"/>
        <v>178.56439601400658</v>
      </c>
      <c r="AM23" s="219">
        <f t="shared" si="7"/>
        <v>181.40138542932024</v>
      </c>
      <c r="AN23" s="219">
        <f t="shared" si="7"/>
        <v>184.18370393598022</v>
      </c>
      <c r="AO23" s="219">
        <f t="shared" si="7"/>
        <v>186.91419863582661</v>
      </c>
      <c r="AP23" s="98">
        <f t="shared" ref="AP23:AU23" si="8">(1+$B$20*(AP10/AO10-1))*AO23</f>
        <v>189.5954810055008</v>
      </c>
      <c r="AQ23" s="98">
        <f t="shared" si="8"/>
        <v>192.22995317295272</v>
      </c>
      <c r="AR23" s="98">
        <f t="shared" si="8"/>
        <v>195.47016825127298</v>
      </c>
      <c r="AS23" s="98">
        <f t="shared" si="8"/>
        <v>198.64427633777265</v>
      </c>
      <c r="AT23" s="98">
        <f t="shared" si="8"/>
        <v>201.75591505036303</v>
      </c>
      <c r="AU23" s="98">
        <f t="shared" si="8"/>
        <v>204.80840449254097</v>
      </c>
      <c r="AV23" s="98">
        <f t="shared" ref="AV23" si="9">(1+$B$20*(AT10/AS10-1))*AU23</f>
        <v>208.01660042867366</v>
      </c>
    </row>
    <row r="24" spans="1:48">
      <c r="A24" s="185" t="s">
        <v>16</v>
      </c>
      <c r="B24" s="264" t="str">
        <f>B23 &amp; "-" &amp; "indexed"</f>
        <v>COM-indexed</v>
      </c>
      <c r="C24" s="87" t="str">
        <f>C23 &amp;"-" &amp; "indexed"</f>
        <v>Commercial-indexed</v>
      </c>
      <c r="I24" s="151"/>
      <c r="J24" s="89">
        <f>K24*(1+((J23-K23)/K23))</f>
        <v>0.9548797420688353</v>
      </c>
      <c r="K24" s="89">
        <f>L24*(1+((K23-L23)/L23))</f>
        <v>0.96345241895499323</v>
      </c>
      <c r="L24" s="89">
        <f>M24*(1+((L23-M23)/M23))</f>
        <v>0.97489077416881442</v>
      </c>
      <c r="M24" s="89">
        <f>N24*(1+((M23-N23)/N23))</f>
        <v>0.98492278000858424</v>
      </c>
      <c r="N24" s="89">
        <f>O24*(1+((N23-O23)/O23))</f>
        <v>0.99451374468834164</v>
      </c>
      <c r="O24" s="89">
        <v>1</v>
      </c>
      <c r="P24" s="89">
        <f t="shared" ref="P24:AV24" si="10">O24*(1+((P23-O23)/O23))</f>
        <v>1.0064465950196266</v>
      </c>
      <c r="Q24" s="89">
        <f t="shared" si="10"/>
        <v>1.0140112440868854</v>
      </c>
      <c r="R24" s="89">
        <f t="shared" si="10"/>
        <v>1.0140112440868854</v>
      </c>
      <c r="S24" s="89">
        <f t="shared" si="10"/>
        <v>1.0244718507329471</v>
      </c>
      <c r="T24" s="89">
        <f t="shared" si="10"/>
        <v>1.0346725660541241</v>
      </c>
      <c r="U24" s="89">
        <f t="shared" si="10"/>
        <v>1.0447118664914814</v>
      </c>
      <c r="V24" s="89">
        <f t="shared" si="10"/>
        <v>1.0544437715216275</v>
      </c>
      <c r="W24" s="89">
        <f t="shared" si="10"/>
        <v>1.0644440169597404</v>
      </c>
      <c r="X24" s="89">
        <f t="shared" si="10"/>
        <v>1.0760547411838544</v>
      </c>
      <c r="Y24" s="89">
        <f t="shared" si="10"/>
        <v>1.0874077496918848</v>
      </c>
      <c r="Z24" s="89">
        <f t="shared" si="10"/>
        <v>1.0991450273723771</v>
      </c>
      <c r="AA24" s="89">
        <f t="shared" si="10"/>
        <v>1.1111238018067655</v>
      </c>
      <c r="AB24" s="89">
        <f t="shared" si="10"/>
        <v>1.1233110396701813</v>
      </c>
      <c r="AC24" s="89">
        <f t="shared" si="10"/>
        <v>1.1373114179954926</v>
      </c>
      <c r="AD24" s="89">
        <f t="shared" si="10"/>
        <v>1.1508910482522647</v>
      </c>
      <c r="AE24" s="89">
        <f t="shared" si="10"/>
        <v>1.1655312460579554</v>
      </c>
      <c r="AF24" s="89">
        <f t="shared" si="10"/>
        <v>1.1809919335655195</v>
      </c>
      <c r="AG24" s="89">
        <f t="shared" si="10"/>
        <v>1.1971848883102871</v>
      </c>
      <c r="AH24" s="89">
        <f t="shared" si="10"/>
        <v>1.2138594651637253</v>
      </c>
      <c r="AI24" s="89">
        <f t="shared" si="10"/>
        <v>1.2309305252947256</v>
      </c>
      <c r="AJ24" s="89">
        <f t="shared" si="10"/>
        <v>1.2480172778795398</v>
      </c>
      <c r="AK24" s="89">
        <f t="shared" si="10"/>
        <v>1.2655205040470419</v>
      </c>
      <c r="AL24" s="89">
        <f t="shared" si="10"/>
        <v>1.2837924583083793</v>
      </c>
      <c r="AM24" s="89">
        <f t="shared" si="10"/>
        <v>1.3041890530214413</v>
      </c>
      <c r="AN24" s="89">
        <f t="shared" si="10"/>
        <v>1.3241925900937574</v>
      </c>
      <c r="AO24" s="89">
        <f t="shared" si="10"/>
        <v>1.3438235388235302</v>
      </c>
      <c r="AP24" s="89">
        <f t="shared" si="10"/>
        <v>1.3631006744766698</v>
      </c>
      <c r="AQ24" s="89">
        <f t="shared" si="10"/>
        <v>1.3820412672022924</v>
      </c>
      <c r="AR24" s="89">
        <f t="shared" si="10"/>
        <v>1.4053368612495982</v>
      </c>
      <c r="AS24" s="89">
        <f t="shared" si="10"/>
        <v>1.4281571776971407</v>
      </c>
      <c r="AT24" s="89">
        <f t="shared" si="10"/>
        <v>1.4505283692749431</v>
      </c>
      <c r="AU24" s="89">
        <f t="shared" si="10"/>
        <v>1.4724743059365082</v>
      </c>
      <c r="AV24" s="89">
        <f t="shared" si="10"/>
        <v>1.4955396976916466</v>
      </c>
    </row>
    <row r="25" spans="1:48">
      <c r="A25" s="185" t="s">
        <v>16</v>
      </c>
      <c r="B25" s="264" t="str">
        <f>B10 &amp; "-" &amp; "EXISTING"</f>
        <v>COM-EXISTING</v>
      </c>
      <c r="C25" s="87" t="str">
        <f>C10 &amp; "-" &amp; "existing"</f>
        <v>Commercial-existing</v>
      </c>
      <c r="D25" s="87" t="s">
        <v>53</v>
      </c>
      <c r="E25" s="99">
        <v>1</v>
      </c>
      <c r="I25" s="151"/>
      <c r="J25" s="217">
        <f>E25</f>
        <v>1</v>
      </c>
      <c r="K25" s="217">
        <v>1</v>
      </c>
      <c r="L25" s="217">
        <v>1</v>
      </c>
      <c r="M25" s="217">
        <v>1</v>
      </c>
      <c r="N25" s="217">
        <v>1</v>
      </c>
      <c r="O25" s="217">
        <f>E25</f>
        <v>1</v>
      </c>
      <c r="P25" s="89">
        <f t="shared" ref="P25:AV25" si="11">IF(O25-$C$20*(P22-O22)&lt;0,0,O25-$C$20*(P22-O22))</f>
        <v>0.99</v>
      </c>
      <c r="Q25" s="89">
        <f t="shared" si="11"/>
        <v>0.98</v>
      </c>
      <c r="R25" s="89">
        <f t="shared" si="11"/>
        <v>0.97</v>
      </c>
      <c r="S25" s="89">
        <f t="shared" si="11"/>
        <v>0.96</v>
      </c>
      <c r="T25" s="89">
        <f t="shared" si="11"/>
        <v>0.95</v>
      </c>
      <c r="U25" s="89">
        <f t="shared" si="11"/>
        <v>0.94</v>
      </c>
      <c r="V25" s="89">
        <f t="shared" si="11"/>
        <v>0.92999999999999994</v>
      </c>
      <c r="W25" s="89">
        <f t="shared" si="11"/>
        <v>0.91999999999999993</v>
      </c>
      <c r="X25" s="89">
        <f t="shared" si="11"/>
        <v>0.90999999999999992</v>
      </c>
      <c r="Y25" s="89">
        <f t="shared" si="11"/>
        <v>0.89999999999999991</v>
      </c>
      <c r="Z25" s="89">
        <f t="shared" si="11"/>
        <v>0.8899999999999999</v>
      </c>
      <c r="AA25" s="89">
        <f t="shared" si="11"/>
        <v>0.87999999999999989</v>
      </c>
      <c r="AB25" s="89">
        <f t="shared" si="11"/>
        <v>0.86999999999999988</v>
      </c>
      <c r="AC25" s="89">
        <f t="shared" si="11"/>
        <v>0.85999999999999988</v>
      </c>
      <c r="AD25" s="89">
        <f t="shared" si="11"/>
        <v>0.84999999999999987</v>
      </c>
      <c r="AE25" s="89">
        <f t="shared" si="11"/>
        <v>0.83999999999999986</v>
      </c>
      <c r="AF25" s="89">
        <f t="shared" si="11"/>
        <v>0.82999999999999985</v>
      </c>
      <c r="AG25" s="89">
        <f t="shared" si="11"/>
        <v>0.81999999999999984</v>
      </c>
      <c r="AH25" s="89">
        <f t="shared" si="11"/>
        <v>0.80999999999999983</v>
      </c>
      <c r="AI25" s="89">
        <f t="shared" si="11"/>
        <v>0.79999999999999982</v>
      </c>
      <c r="AJ25" s="89">
        <f t="shared" si="11"/>
        <v>0.78999999999999981</v>
      </c>
      <c r="AK25" s="89">
        <f t="shared" si="11"/>
        <v>0.7799999999999998</v>
      </c>
      <c r="AL25" s="89">
        <f t="shared" si="11"/>
        <v>0.7699999999999998</v>
      </c>
      <c r="AM25" s="89">
        <f t="shared" si="11"/>
        <v>0.75999999999999979</v>
      </c>
      <c r="AN25" s="89">
        <f t="shared" si="11"/>
        <v>0.74999999999999978</v>
      </c>
      <c r="AO25" s="89">
        <f t="shared" si="11"/>
        <v>0.73999999999999977</v>
      </c>
      <c r="AP25" s="89">
        <f t="shared" si="11"/>
        <v>0.72999999999999976</v>
      </c>
      <c r="AQ25" s="89">
        <f t="shared" si="11"/>
        <v>0.71999999999999975</v>
      </c>
      <c r="AR25" s="89">
        <f t="shared" si="11"/>
        <v>0.70999999999999974</v>
      </c>
      <c r="AS25" s="89">
        <f t="shared" si="11"/>
        <v>0.69999999999999973</v>
      </c>
      <c r="AT25" s="89">
        <f t="shared" si="11"/>
        <v>0.68999999999999972</v>
      </c>
      <c r="AU25" s="89">
        <f t="shared" si="11"/>
        <v>0.67999999999999972</v>
      </c>
      <c r="AV25" s="89">
        <f t="shared" si="11"/>
        <v>0.66999999999999971</v>
      </c>
    </row>
    <row r="26" spans="1:48">
      <c r="A26" s="185" t="s">
        <v>16</v>
      </c>
      <c r="B26" s="264"/>
      <c r="I26" s="151"/>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row>
    <row r="27" spans="1:48">
      <c r="A27" s="185" t="s">
        <v>16</v>
      </c>
      <c r="B27" s="264" t="s">
        <v>486</v>
      </c>
      <c r="C27" s="266">
        <v>0.2</v>
      </c>
      <c r="I27" s="151"/>
      <c r="J27" s="89"/>
      <c r="K27" s="89"/>
      <c r="L27" s="89"/>
      <c r="M27" s="89"/>
      <c r="N27" s="89"/>
      <c r="O27" s="89"/>
      <c r="P27" s="89"/>
      <c r="Q27" s="89"/>
      <c r="R27" s="89"/>
      <c r="S27" s="89"/>
      <c r="T27" s="89"/>
      <c r="U27" s="89"/>
      <c r="V27" s="89"/>
      <c r="W27" s="89"/>
      <c r="X27" s="89"/>
      <c r="Y27" s="89"/>
      <c r="Z27" s="89"/>
      <c r="AH27" s="89"/>
      <c r="AI27" s="89"/>
      <c r="AJ27" s="89"/>
      <c r="AK27" s="89"/>
      <c r="AL27" s="89"/>
      <c r="AM27" s="89"/>
      <c r="AN27" s="89"/>
      <c r="AO27" s="89"/>
      <c r="AP27" s="89"/>
      <c r="AQ27" s="89"/>
      <c r="AR27" s="89"/>
      <c r="AS27" s="89"/>
      <c r="AT27" s="89"/>
      <c r="AU27" s="89"/>
      <c r="AV27" s="89"/>
    </row>
    <row r="28" spans="1:48">
      <c r="A28" s="185" t="s">
        <v>16</v>
      </c>
      <c r="B28" s="264"/>
      <c r="I28" s="151"/>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row>
    <row r="29" spans="1:48">
      <c r="A29" s="185" t="s">
        <v>16</v>
      </c>
      <c r="B29" s="267" t="s">
        <v>490</v>
      </c>
      <c r="C29" s="164"/>
      <c r="D29" s="164"/>
      <c r="I29" s="151"/>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row>
    <row r="30" spans="1:48">
      <c r="A30" s="185" t="s">
        <v>16</v>
      </c>
      <c r="B30" s="264" t="s">
        <v>487</v>
      </c>
      <c r="D30" s="87" t="s">
        <v>71</v>
      </c>
      <c r="I30" s="151"/>
      <c r="J30" s="217">
        <f>J23</f>
        <v>132.81548999999998</v>
      </c>
      <c r="K30" s="217">
        <f t="shared" ref="K30:O30" si="12">K23</f>
        <v>134.00787499999998</v>
      </c>
      <c r="L30" s="217">
        <f t="shared" si="12"/>
        <v>135.598851</v>
      </c>
      <c r="M30" s="217">
        <f t="shared" si="12"/>
        <v>136.99421599999999</v>
      </c>
      <c r="N30" s="217">
        <f t="shared" si="12"/>
        <v>138.328236</v>
      </c>
      <c r="O30" s="217">
        <f t="shared" si="12"/>
        <v>139.0913265289752</v>
      </c>
      <c r="P30" s="89">
        <f>P25*$O$23</f>
        <v>137.70041326368545</v>
      </c>
      <c r="Q30" s="89">
        <f t="shared" ref="Q30:AV30" si="13">Q25*$O$23</f>
        <v>136.30949999839569</v>
      </c>
      <c r="R30" s="89">
        <f t="shared" si="13"/>
        <v>134.91858673310594</v>
      </c>
      <c r="S30" s="89">
        <f t="shared" si="13"/>
        <v>133.52767346781619</v>
      </c>
      <c r="T30" s="89">
        <f t="shared" si="13"/>
        <v>132.13676020252643</v>
      </c>
      <c r="U30" s="89">
        <f t="shared" si="13"/>
        <v>130.74584693723668</v>
      </c>
      <c r="V30" s="89">
        <f t="shared" si="13"/>
        <v>129.35493367194692</v>
      </c>
      <c r="W30" s="89">
        <f t="shared" si="13"/>
        <v>127.96402040665717</v>
      </c>
      <c r="X30" s="89">
        <f t="shared" si="13"/>
        <v>126.57310714136742</v>
      </c>
      <c r="Y30" s="89">
        <f t="shared" si="13"/>
        <v>125.18219387607768</v>
      </c>
      <c r="Z30" s="89">
        <f t="shared" si="13"/>
        <v>123.79128061078792</v>
      </c>
      <c r="AA30" s="89">
        <f t="shared" si="13"/>
        <v>122.40036734549817</v>
      </c>
      <c r="AB30" s="89">
        <f t="shared" si="13"/>
        <v>121.00945408020841</v>
      </c>
      <c r="AC30" s="89">
        <f t="shared" si="13"/>
        <v>119.61854081491866</v>
      </c>
      <c r="AD30" s="89">
        <f t="shared" si="13"/>
        <v>118.22762754962891</v>
      </c>
      <c r="AE30" s="89">
        <f t="shared" si="13"/>
        <v>116.83671428433915</v>
      </c>
      <c r="AF30" s="89">
        <f t="shared" si="13"/>
        <v>115.4458010190494</v>
      </c>
      <c r="AG30" s="89">
        <f t="shared" si="13"/>
        <v>114.05488775375964</v>
      </c>
      <c r="AH30" s="89">
        <f t="shared" si="13"/>
        <v>112.66397448846989</v>
      </c>
      <c r="AI30" s="89">
        <f t="shared" si="13"/>
        <v>111.27306122318014</v>
      </c>
      <c r="AJ30" s="89">
        <f t="shared" si="13"/>
        <v>109.88214795789038</v>
      </c>
      <c r="AK30" s="89">
        <f t="shared" si="13"/>
        <v>108.49123469260063</v>
      </c>
      <c r="AL30" s="89">
        <f t="shared" si="13"/>
        <v>107.10032142731087</v>
      </c>
      <c r="AM30" s="89">
        <f t="shared" si="13"/>
        <v>105.70940816202112</v>
      </c>
      <c r="AN30" s="89">
        <f t="shared" si="13"/>
        <v>104.31849489673137</v>
      </c>
      <c r="AO30" s="89">
        <f t="shared" si="13"/>
        <v>102.92758163144161</v>
      </c>
      <c r="AP30" s="89">
        <f t="shared" si="13"/>
        <v>101.53666836615186</v>
      </c>
      <c r="AQ30" s="89">
        <f t="shared" si="13"/>
        <v>100.1457551008621</v>
      </c>
      <c r="AR30" s="89">
        <f t="shared" si="13"/>
        <v>98.754841835572364</v>
      </c>
      <c r="AS30" s="89">
        <f t="shared" si="13"/>
        <v>97.36392857028261</v>
      </c>
      <c r="AT30" s="89">
        <f t="shared" si="13"/>
        <v>95.973015304992856</v>
      </c>
      <c r="AU30" s="89">
        <f t="shared" si="13"/>
        <v>94.582102039703102</v>
      </c>
      <c r="AV30" s="89">
        <f t="shared" si="13"/>
        <v>93.191188774413348</v>
      </c>
    </row>
    <row r="31" spans="1:48">
      <c r="A31" s="185" t="s">
        <v>16</v>
      </c>
      <c r="B31" s="264" t="s">
        <v>488</v>
      </c>
      <c r="D31" s="87" t="s">
        <v>71</v>
      </c>
      <c r="I31" s="151"/>
      <c r="J31" s="89">
        <f>J23-J30</f>
        <v>0</v>
      </c>
      <c r="K31" s="89">
        <f t="shared" ref="K31:AV31" si="14">K23-K30</f>
        <v>0</v>
      </c>
      <c r="L31" s="89">
        <f t="shared" si="14"/>
        <v>0</v>
      </c>
      <c r="M31" s="89">
        <f t="shared" si="14"/>
        <v>0</v>
      </c>
      <c r="N31" s="89">
        <f t="shared" si="14"/>
        <v>0</v>
      </c>
      <c r="O31" s="89">
        <f t="shared" si="14"/>
        <v>0</v>
      </c>
      <c r="P31" s="89">
        <f t="shared" si="14"/>
        <v>2.2875787181646956</v>
      </c>
      <c r="Q31" s="89">
        <f t="shared" si="14"/>
        <v>4.7306690569456293</v>
      </c>
      <c r="R31" s="89">
        <f t="shared" si="14"/>
        <v>6.1215823222353833</v>
      </c>
      <c r="S31" s="89">
        <f t="shared" si="14"/>
        <v>8.967475242223685</v>
      </c>
      <c r="T31" s="89">
        <f t="shared" si="14"/>
        <v>11.77721953308037</v>
      </c>
      <c r="U31" s="89">
        <f t="shared" si="14"/>
        <v>14.564512413625096</v>
      </c>
      <c r="V31" s="89">
        <f t="shared" si="14"/>
        <v>17.309049259211889</v>
      </c>
      <c r="W31" s="89">
        <f t="shared" si="14"/>
        <v>20.090909928104111</v>
      </c>
      <c r="X31" s="89">
        <f t="shared" si="14"/>
        <v>23.096774227687973</v>
      </c>
      <c r="Y31" s="89">
        <f t="shared" si="14"/>
        <v>26.066792506454405</v>
      </c>
      <c r="Z31" s="89">
        <f t="shared" si="14"/>
        <v>29.090259294162777</v>
      </c>
      <c r="AA31" s="89">
        <f t="shared" si="14"/>
        <v>32.147316185723</v>
      </c>
      <c r="AB31" s="89">
        <f t="shared" si="14"/>
        <v>35.233368532159417</v>
      </c>
      <c r="AC31" s="89">
        <f t="shared" si="14"/>
        <v>38.571612990624217</v>
      </c>
      <c r="AD31" s="89">
        <f t="shared" si="14"/>
        <v>41.851335042101411</v>
      </c>
      <c r="AE31" s="89">
        <f t="shared" si="14"/>
        <v>45.278572840831274</v>
      </c>
      <c r="AF31" s="89">
        <f t="shared" si="14"/>
        <v>48.819933640598052</v>
      </c>
      <c r="AG31" s="89">
        <f t="shared" si="14"/>
        <v>52.463146461761212</v>
      </c>
      <c r="AH31" s="89">
        <f t="shared" si="14"/>
        <v>56.173348740905041</v>
      </c>
      <c r="AI31" s="89">
        <f t="shared" si="14"/>
        <v>59.93869840507152</v>
      </c>
      <c r="AJ31" s="89">
        <f t="shared" si="14"/>
        <v>63.706230753455472</v>
      </c>
      <c r="AK31" s="89">
        <f t="shared" si="14"/>
        <v>67.531690964919747</v>
      </c>
      <c r="AL31" s="89">
        <f t="shared" si="14"/>
        <v>71.464074586695702</v>
      </c>
      <c r="AM31" s="89">
        <f t="shared" si="14"/>
        <v>75.691977267299123</v>
      </c>
      <c r="AN31" s="89">
        <f t="shared" si="14"/>
        <v>79.865209039248853</v>
      </c>
      <c r="AO31" s="89">
        <f t="shared" si="14"/>
        <v>83.986617004384996</v>
      </c>
      <c r="AP31" s="89">
        <f t="shared" si="14"/>
        <v>88.058812639348943</v>
      </c>
      <c r="AQ31" s="89">
        <f t="shared" si="14"/>
        <v>92.084198072090615</v>
      </c>
      <c r="AR31" s="89">
        <f t="shared" si="14"/>
        <v>96.715326415700616</v>
      </c>
      <c r="AS31" s="89">
        <f t="shared" si="14"/>
        <v>101.28034776749004</v>
      </c>
      <c r="AT31" s="89">
        <f t="shared" si="14"/>
        <v>105.78289974537017</v>
      </c>
      <c r="AU31" s="89">
        <f t="shared" si="14"/>
        <v>110.22630245283787</v>
      </c>
      <c r="AV31" s="89">
        <f t="shared" si="14"/>
        <v>114.82541165426031</v>
      </c>
    </row>
    <row r="32" spans="1:48">
      <c r="A32" s="185" t="s">
        <v>16</v>
      </c>
      <c r="B32" s="264"/>
      <c r="I32" s="151"/>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row>
    <row r="33" spans="1:48">
      <c r="A33" s="185" t="s">
        <v>16</v>
      </c>
      <c r="B33" s="267" t="s">
        <v>495</v>
      </c>
      <c r="C33" s="164"/>
      <c r="D33" s="164"/>
      <c r="I33" s="151"/>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row>
    <row r="34" spans="1:48">
      <c r="A34" s="185" t="s">
        <v>16</v>
      </c>
      <c r="B34" s="264" t="s">
        <v>489</v>
      </c>
      <c r="D34" s="87" t="s">
        <v>71</v>
      </c>
      <c r="I34" s="151"/>
      <c r="J34" s="89">
        <f>SUM(J30:J31)*$C$27</f>
        <v>26.563097999999997</v>
      </c>
      <c r="K34" s="89">
        <f t="shared" ref="K34:AV34" si="15">SUM(K30:K31)*$C$27</f>
        <v>26.801575</v>
      </c>
      <c r="L34" s="89">
        <f t="shared" si="15"/>
        <v>27.119770200000001</v>
      </c>
      <c r="M34" s="89">
        <f t="shared" si="15"/>
        <v>27.398843200000002</v>
      </c>
      <c r="N34" s="89">
        <f t="shared" si="15"/>
        <v>27.665647200000002</v>
      </c>
      <c r="O34" s="89">
        <f t="shared" si="15"/>
        <v>27.818265305795041</v>
      </c>
      <c r="P34" s="220">
        <f t="shared" si="15"/>
        <v>27.99759839637003</v>
      </c>
      <c r="Q34" s="89">
        <f t="shared" si="15"/>
        <v>28.208033811068265</v>
      </c>
      <c r="R34" s="89">
        <f t="shared" si="15"/>
        <v>28.208033811068265</v>
      </c>
      <c r="S34" s="89">
        <f t="shared" si="15"/>
        <v>28.499029742007977</v>
      </c>
      <c r="T34" s="89">
        <f t="shared" si="15"/>
        <v>28.782795947121361</v>
      </c>
      <c r="U34" s="89">
        <f t="shared" si="15"/>
        <v>29.062071870172357</v>
      </c>
      <c r="V34" s="89">
        <f t="shared" si="15"/>
        <v>29.332796586231765</v>
      </c>
      <c r="W34" s="89">
        <f t="shared" si="15"/>
        <v>29.610986066952258</v>
      </c>
      <c r="X34" s="89">
        <f t="shared" si="15"/>
        <v>29.93397627381108</v>
      </c>
      <c r="Y34" s="89">
        <f t="shared" si="15"/>
        <v>30.249797276506417</v>
      </c>
      <c r="Z34" s="89">
        <f t="shared" si="15"/>
        <v>30.576307980990141</v>
      </c>
      <c r="AA34" s="89">
        <f t="shared" si="15"/>
        <v>30.909536706244236</v>
      </c>
      <c r="AB34" s="89">
        <f t="shared" si="15"/>
        <v>31.248564522473568</v>
      </c>
      <c r="AC34" s="89">
        <f t="shared" si="15"/>
        <v>31.638030761108578</v>
      </c>
      <c r="AD34" s="89">
        <f t="shared" si="15"/>
        <v>32.015792518346068</v>
      </c>
      <c r="AE34" s="89">
        <f t="shared" si="15"/>
        <v>32.423057425034088</v>
      </c>
      <c r="AF34" s="89">
        <f t="shared" si="15"/>
        <v>32.853146931929494</v>
      </c>
      <c r="AG34" s="89">
        <f t="shared" si="15"/>
        <v>33.30360684310417</v>
      </c>
      <c r="AH34" s="89">
        <f t="shared" si="15"/>
        <v>33.767464645874988</v>
      </c>
      <c r="AI34" s="89">
        <f t="shared" si="15"/>
        <v>34.242351925650333</v>
      </c>
      <c r="AJ34" s="89">
        <f t="shared" si="15"/>
        <v>34.717675742269172</v>
      </c>
      <c r="AK34" s="89">
        <f t="shared" si="15"/>
        <v>35.204585131504075</v>
      </c>
      <c r="AL34" s="89">
        <f t="shared" si="15"/>
        <v>35.712879202801318</v>
      </c>
      <c r="AM34" s="89">
        <f t="shared" si="15"/>
        <v>36.28027708586405</v>
      </c>
      <c r="AN34" s="89">
        <f t="shared" si="15"/>
        <v>36.836740787196042</v>
      </c>
      <c r="AO34" s="89">
        <f t="shared" si="15"/>
        <v>37.382839727165326</v>
      </c>
      <c r="AP34" s="89">
        <f t="shared" si="15"/>
        <v>37.91909620110016</v>
      </c>
      <c r="AQ34" s="89">
        <f t="shared" si="15"/>
        <v>38.445990634590544</v>
      </c>
      <c r="AR34" s="89">
        <f t="shared" si="15"/>
        <v>39.094033650254602</v>
      </c>
      <c r="AS34" s="89">
        <f t="shared" si="15"/>
        <v>39.728855267554536</v>
      </c>
      <c r="AT34" s="89">
        <f t="shared" si="15"/>
        <v>40.35118301007261</v>
      </c>
      <c r="AU34" s="89">
        <f t="shared" si="15"/>
        <v>40.961680898508199</v>
      </c>
      <c r="AV34" s="89">
        <f t="shared" si="15"/>
        <v>41.603320085734737</v>
      </c>
    </row>
    <row r="35" spans="1:48">
      <c r="A35" s="185" t="s">
        <v>16</v>
      </c>
      <c r="B35" s="264" t="s">
        <v>491</v>
      </c>
      <c r="C35" s="264"/>
      <c r="D35" s="87" t="s">
        <v>71</v>
      </c>
      <c r="E35" s="89"/>
      <c r="F35" s="89"/>
      <c r="G35" s="89"/>
      <c r="H35" s="89"/>
      <c r="I35" s="151"/>
      <c r="J35" s="89">
        <f>J30-J34*(J30/SUM(J30:J31))</f>
        <v>106.25239199999999</v>
      </c>
      <c r="K35" s="89">
        <f t="shared" ref="K35:AV35" si="16">K30-K34*(K30/SUM(K30:K31))</f>
        <v>107.20629999999998</v>
      </c>
      <c r="L35" s="89">
        <f t="shared" si="16"/>
        <v>108.47908079999999</v>
      </c>
      <c r="M35" s="89">
        <f t="shared" si="16"/>
        <v>109.59537279999999</v>
      </c>
      <c r="N35" s="89">
        <f t="shared" si="16"/>
        <v>110.66258880000001</v>
      </c>
      <c r="O35" s="89">
        <f t="shared" si="16"/>
        <v>111.27306122318016</v>
      </c>
      <c r="P35" s="220">
        <f t="shared" si="16"/>
        <v>110.16033061094836</v>
      </c>
      <c r="Q35" s="89">
        <f t="shared" si="16"/>
        <v>109.04759999871655</v>
      </c>
      <c r="R35" s="89">
        <f t="shared" si="16"/>
        <v>107.93486938648475</v>
      </c>
      <c r="S35" s="89">
        <f t="shared" si="16"/>
        <v>106.82213877425295</v>
      </c>
      <c r="T35" s="89">
        <f t="shared" si="16"/>
        <v>105.70940816202115</v>
      </c>
      <c r="U35" s="89">
        <f t="shared" si="16"/>
        <v>104.59667754978935</v>
      </c>
      <c r="V35" s="89">
        <f t="shared" si="16"/>
        <v>103.48394693755753</v>
      </c>
      <c r="W35" s="89">
        <f t="shared" si="16"/>
        <v>102.37121632532573</v>
      </c>
      <c r="X35" s="89">
        <f t="shared" si="16"/>
        <v>101.25848571309393</v>
      </c>
      <c r="Y35" s="89">
        <f t="shared" si="16"/>
        <v>100.14575510086215</v>
      </c>
      <c r="Z35" s="89">
        <f t="shared" si="16"/>
        <v>99.033024488630332</v>
      </c>
      <c r="AA35" s="89">
        <f t="shared" si="16"/>
        <v>97.920293876398532</v>
      </c>
      <c r="AB35" s="89">
        <f t="shared" si="16"/>
        <v>96.807563264166731</v>
      </c>
      <c r="AC35" s="89">
        <f t="shared" si="16"/>
        <v>95.694832651934931</v>
      </c>
      <c r="AD35" s="89">
        <f t="shared" si="16"/>
        <v>94.58210203970313</v>
      </c>
      <c r="AE35" s="89">
        <f t="shared" si="16"/>
        <v>93.469371427471316</v>
      </c>
      <c r="AF35" s="89">
        <f t="shared" si="16"/>
        <v>92.356640815239516</v>
      </c>
      <c r="AG35" s="89">
        <f t="shared" si="16"/>
        <v>91.243910203007715</v>
      </c>
      <c r="AH35" s="89">
        <f t="shared" si="16"/>
        <v>90.131179590775915</v>
      </c>
      <c r="AI35" s="89">
        <f t="shared" si="16"/>
        <v>89.018448978544114</v>
      </c>
      <c r="AJ35" s="89">
        <f t="shared" si="16"/>
        <v>87.9057183663123</v>
      </c>
      <c r="AK35" s="89">
        <f t="shared" si="16"/>
        <v>86.792987754080499</v>
      </c>
      <c r="AL35" s="89">
        <f t="shared" si="16"/>
        <v>85.680257141848699</v>
      </c>
      <c r="AM35" s="89">
        <f t="shared" si="16"/>
        <v>84.567526529616899</v>
      </c>
      <c r="AN35" s="89">
        <f t="shared" si="16"/>
        <v>83.454795917385098</v>
      </c>
      <c r="AO35" s="89">
        <f t="shared" si="16"/>
        <v>82.342065305153284</v>
      </c>
      <c r="AP35" s="89">
        <f t="shared" si="16"/>
        <v>81.229334692921483</v>
      </c>
      <c r="AQ35" s="89">
        <f t="shared" si="16"/>
        <v>80.116604080689683</v>
      </c>
      <c r="AR35" s="89">
        <f t="shared" si="16"/>
        <v>79.003873468457897</v>
      </c>
      <c r="AS35" s="89">
        <f t="shared" si="16"/>
        <v>77.891142856226082</v>
      </c>
      <c r="AT35" s="89">
        <f t="shared" si="16"/>
        <v>76.778412243994282</v>
      </c>
      <c r="AU35" s="89">
        <f t="shared" si="16"/>
        <v>75.665681631762482</v>
      </c>
      <c r="AV35" s="89">
        <f t="shared" si="16"/>
        <v>74.552951019530667</v>
      </c>
    </row>
    <row r="36" spans="1:48">
      <c r="A36" s="185" t="s">
        <v>16</v>
      </c>
      <c r="B36" s="264" t="s">
        <v>492</v>
      </c>
      <c r="C36" s="264"/>
      <c r="D36" s="87" t="s">
        <v>71</v>
      </c>
      <c r="E36" s="89"/>
      <c r="F36" s="89"/>
      <c r="G36" s="89"/>
      <c r="H36" s="89"/>
      <c r="I36" s="151"/>
      <c r="J36" s="89">
        <f>J23-J35-J34</f>
        <v>0</v>
      </c>
      <c r="K36" s="89">
        <f t="shared" ref="K36:AV36" si="17">K23-K35-K34</f>
        <v>0</v>
      </c>
      <c r="L36" s="89">
        <f t="shared" si="17"/>
        <v>0</v>
      </c>
      <c r="M36" s="89">
        <f t="shared" si="17"/>
        <v>0</v>
      </c>
      <c r="N36" s="89">
        <f t="shared" si="17"/>
        <v>0</v>
      </c>
      <c r="O36" s="89">
        <f t="shared" si="17"/>
        <v>0</v>
      </c>
      <c r="P36" s="220">
        <f t="shared" si="17"/>
        <v>1.8300629745317494</v>
      </c>
      <c r="Q36" s="89">
        <f t="shared" si="17"/>
        <v>3.7845352455565084</v>
      </c>
      <c r="R36" s="89">
        <f t="shared" si="17"/>
        <v>4.8972658577883088</v>
      </c>
      <c r="S36" s="89">
        <f t="shared" si="17"/>
        <v>7.1739801937789451</v>
      </c>
      <c r="T36" s="89">
        <f t="shared" si="17"/>
        <v>9.4217756264642922</v>
      </c>
      <c r="U36" s="89">
        <f t="shared" si="17"/>
        <v>11.651609930900069</v>
      </c>
      <c r="V36" s="89">
        <f t="shared" si="17"/>
        <v>13.847239407369514</v>
      </c>
      <c r="W36" s="89">
        <f t="shared" si="17"/>
        <v>16.07272794248329</v>
      </c>
      <c r="X36" s="89">
        <f t="shared" si="17"/>
        <v>18.477419382150376</v>
      </c>
      <c r="Y36" s="89">
        <f t="shared" si="17"/>
        <v>20.853434005163518</v>
      </c>
      <c r="Z36" s="89">
        <f t="shared" si="17"/>
        <v>23.272207435330227</v>
      </c>
      <c r="AA36" s="89">
        <f t="shared" si="17"/>
        <v>25.7178529485784</v>
      </c>
      <c r="AB36" s="89">
        <f t="shared" si="17"/>
        <v>28.186694825727532</v>
      </c>
      <c r="AC36" s="89">
        <f t="shared" si="17"/>
        <v>30.857290392499369</v>
      </c>
      <c r="AD36" s="89">
        <f t="shared" si="17"/>
        <v>33.481068033681119</v>
      </c>
      <c r="AE36" s="89">
        <f t="shared" si="17"/>
        <v>36.222858272665022</v>
      </c>
      <c r="AF36" s="89">
        <f t="shared" si="17"/>
        <v>39.05594691247844</v>
      </c>
      <c r="AG36" s="89">
        <f t="shared" si="17"/>
        <v>41.970517169408971</v>
      </c>
      <c r="AH36" s="89">
        <f t="shared" si="17"/>
        <v>44.938678992724029</v>
      </c>
      <c r="AI36" s="89">
        <f t="shared" si="17"/>
        <v>47.950958724057209</v>
      </c>
      <c r="AJ36" s="89">
        <f t="shared" si="17"/>
        <v>50.964984602764382</v>
      </c>
      <c r="AK36" s="89">
        <f t="shared" si="17"/>
        <v>54.0253527719358</v>
      </c>
      <c r="AL36" s="89">
        <f t="shared" si="17"/>
        <v>57.171259669356559</v>
      </c>
      <c r="AM36" s="89">
        <f t="shared" si="17"/>
        <v>60.553581813839294</v>
      </c>
      <c r="AN36" s="89">
        <f t="shared" si="17"/>
        <v>63.892167231399078</v>
      </c>
      <c r="AO36" s="89">
        <f t="shared" si="17"/>
        <v>67.189293603507991</v>
      </c>
      <c r="AP36" s="89">
        <f t="shared" si="17"/>
        <v>70.447050111479157</v>
      </c>
      <c r="AQ36" s="89">
        <f t="shared" si="17"/>
        <v>73.667358457672492</v>
      </c>
      <c r="AR36" s="89">
        <f t="shared" si="17"/>
        <v>77.372261132560482</v>
      </c>
      <c r="AS36" s="89">
        <f t="shared" si="17"/>
        <v>81.024278213992034</v>
      </c>
      <c r="AT36" s="89">
        <f t="shared" si="17"/>
        <v>84.626319796296144</v>
      </c>
      <c r="AU36" s="89">
        <f t="shared" si="17"/>
        <v>88.181041962270285</v>
      </c>
      <c r="AV36" s="89">
        <f t="shared" si="17"/>
        <v>91.860329323408251</v>
      </c>
    </row>
    <row r="37" spans="1:48">
      <c r="A37" s="185" t="s">
        <v>16</v>
      </c>
      <c r="B37" s="264"/>
      <c r="C37" s="264"/>
      <c r="E37" s="89"/>
      <c r="F37" s="89"/>
      <c r="G37" s="89"/>
      <c r="H37" s="89"/>
      <c r="I37" s="151"/>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row>
    <row r="38" spans="1:48">
      <c r="A38" s="185" t="s">
        <v>16</v>
      </c>
      <c r="E38" s="89"/>
      <c r="F38" s="89"/>
      <c r="G38" s="89"/>
      <c r="H38" s="89"/>
      <c r="I38" s="151"/>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row>
    <row r="39" spans="1:48" ht="15.75">
      <c r="A39" s="185" t="s">
        <v>16</v>
      </c>
      <c r="B39" s="268" t="s">
        <v>493</v>
      </c>
      <c r="C39" s="264"/>
      <c r="E39" s="89"/>
      <c r="F39" s="89"/>
      <c r="G39" s="89"/>
      <c r="H39" s="89"/>
      <c r="I39" s="151"/>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row>
    <row r="40" spans="1:48">
      <c r="A40" s="185" t="s">
        <v>16</v>
      </c>
      <c r="B40" s="269" t="s">
        <v>499</v>
      </c>
      <c r="C40" s="264"/>
      <c r="E40" s="89"/>
      <c r="F40" s="89"/>
      <c r="G40" s="89"/>
      <c r="H40" s="89"/>
      <c r="I40" s="89"/>
      <c r="J40" s="88"/>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row>
    <row r="41" spans="1:48">
      <c r="A41" s="185" t="s">
        <v>16</v>
      </c>
      <c r="B41" s="90" t="s">
        <v>234</v>
      </c>
      <c r="C41" s="90"/>
      <c r="D41" s="91" t="s">
        <v>235</v>
      </c>
      <c r="E41" s="100"/>
      <c r="F41" s="100"/>
      <c r="G41" s="100"/>
      <c r="H41" s="100"/>
      <c r="I41" s="100"/>
      <c r="J41" s="101">
        <v>0</v>
      </c>
      <c r="K41" s="100">
        <f t="shared" ref="K41:AV41" si="18">K36-J36</f>
        <v>0</v>
      </c>
      <c r="L41" s="100">
        <f t="shared" si="18"/>
        <v>0</v>
      </c>
      <c r="M41" s="100">
        <f t="shared" si="18"/>
        <v>0</v>
      </c>
      <c r="N41" s="100">
        <f t="shared" si="18"/>
        <v>0</v>
      </c>
      <c r="O41" s="100">
        <f t="shared" si="18"/>
        <v>0</v>
      </c>
      <c r="P41" s="100">
        <f t="shared" si="18"/>
        <v>1.8300629745317494</v>
      </c>
      <c r="Q41" s="100">
        <f t="shared" si="18"/>
        <v>1.9544722710247591</v>
      </c>
      <c r="R41" s="100">
        <f t="shared" si="18"/>
        <v>1.1127306122318004</v>
      </c>
      <c r="S41" s="100">
        <f t="shared" si="18"/>
        <v>2.2767143359906363</v>
      </c>
      <c r="T41" s="100">
        <f t="shared" si="18"/>
        <v>2.2477954326853471</v>
      </c>
      <c r="U41" s="100">
        <f t="shared" si="18"/>
        <v>2.2298343044357765</v>
      </c>
      <c r="V41" s="100">
        <f t="shared" si="18"/>
        <v>2.1956294764694455</v>
      </c>
      <c r="W41" s="100">
        <f t="shared" si="18"/>
        <v>2.2254885351137759</v>
      </c>
      <c r="X41" s="100">
        <f t="shared" si="18"/>
        <v>2.4046914396670864</v>
      </c>
      <c r="Y41" s="100">
        <f t="shared" si="18"/>
        <v>2.3760146230131411</v>
      </c>
      <c r="Z41" s="100">
        <f t="shared" si="18"/>
        <v>2.4187734301667092</v>
      </c>
      <c r="AA41" s="100">
        <f t="shared" si="18"/>
        <v>2.4456455132481736</v>
      </c>
      <c r="AB41" s="100">
        <f t="shared" si="18"/>
        <v>2.4688418771491314</v>
      </c>
      <c r="AC41" s="100">
        <f t="shared" si="18"/>
        <v>2.6705955667718371</v>
      </c>
      <c r="AD41" s="100">
        <f t="shared" si="18"/>
        <v>2.6237776411817499</v>
      </c>
      <c r="AE41" s="100">
        <f t="shared" si="18"/>
        <v>2.7417902389839028</v>
      </c>
      <c r="AF41" s="100">
        <f t="shared" si="18"/>
        <v>2.8330886398134183</v>
      </c>
      <c r="AG41" s="100">
        <f t="shared" si="18"/>
        <v>2.9145702569305314</v>
      </c>
      <c r="AH41" s="100">
        <f t="shared" si="18"/>
        <v>2.9681618233150573</v>
      </c>
      <c r="AI41" s="100">
        <f t="shared" si="18"/>
        <v>3.0122797313331802</v>
      </c>
      <c r="AJ41" s="100">
        <f t="shared" si="18"/>
        <v>3.014025878707173</v>
      </c>
      <c r="AK41" s="100">
        <f t="shared" si="18"/>
        <v>3.0603681691714186</v>
      </c>
      <c r="AL41" s="100">
        <f t="shared" si="18"/>
        <v>3.1459068974207582</v>
      </c>
      <c r="AM41" s="100">
        <f t="shared" si="18"/>
        <v>3.3823221444827354</v>
      </c>
      <c r="AN41" s="100">
        <f t="shared" si="18"/>
        <v>3.3385854175597842</v>
      </c>
      <c r="AO41" s="100">
        <f t="shared" si="18"/>
        <v>3.297126372108913</v>
      </c>
      <c r="AP41" s="100">
        <f t="shared" si="18"/>
        <v>3.2577565079711661</v>
      </c>
      <c r="AQ41" s="100">
        <f t="shared" si="18"/>
        <v>3.2203083461933346</v>
      </c>
      <c r="AR41" s="100">
        <f t="shared" si="18"/>
        <v>3.7049026748879896</v>
      </c>
      <c r="AS41" s="100">
        <f t="shared" si="18"/>
        <v>3.652017081431552</v>
      </c>
      <c r="AT41" s="100">
        <f t="shared" si="18"/>
        <v>3.6020415823041105</v>
      </c>
      <c r="AU41" s="100">
        <f t="shared" si="18"/>
        <v>3.554722165974141</v>
      </c>
      <c r="AV41" s="100">
        <f t="shared" si="18"/>
        <v>3.6792873611379662</v>
      </c>
    </row>
    <row r="42" spans="1:48">
      <c r="A42" s="185" t="s">
        <v>16</v>
      </c>
      <c r="B42" s="264" t="s">
        <v>236</v>
      </c>
      <c r="C42" s="264"/>
      <c r="E42" s="89"/>
      <c r="F42" s="89"/>
      <c r="G42" s="89"/>
      <c r="H42" s="89"/>
      <c r="I42" s="89"/>
      <c r="J42" s="88"/>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row>
    <row r="43" spans="1:48">
      <c r="A43" s="185" t="s">
        <v>16</v>
      </c>
      <c r="B43" s="269" t="str">
        <f>C14</f>
        <v>A</v>
      </c>
      <c r="C43" s="264"/>
      <c r="E43" s="89"/>
      <c r="F43" s="89"/>
      <c r="G43" s="89"/>
      <c r="H43" s="89"/>
      <c r="I43" s="165"/>
      <c r="J43" s="89">
        <f t="shared" ref="J43:S46" si="19">SUM($J$41:$AV$41*(J$4=$J$4:$AV$4)*($B43=$J$11:$AV$11))</f>
        <v>0</v>
      </c>
      <c r="K43" s="89">
        <f t="shared" si="19"/>
        <v>0</v>
      </c>
      <c r="L43" s="89">
        <f t="shared" si="19"/>
        <v>0</v>
      </c>
      <c r="M43" s="89">
        <f t="shared" si="19"/>
        <v>0</v>
      </c>
      <c r="N43" s="89">
        <f t="shared" si="19"/>
        <v>0</v>
      </c>
      <c r="O43" s="89">
        <f t="shared" si="19"/>
        <v>0</v>
      </c>
      <c r="P43" s="89">
        <f t="shared" si="19"/>
        <v>0</v>
      </c>
      <c r="Q43" s="89">
        <f t="shared" si="19"/>
        <v>0</v>
      </c>
      <c r="R43" s="89">
        <f t="shared" si="19"/>
        <v>0</v>
      </c>
      <c r="S43" s="89">
        <f t="shared" si="19"/>
        <v>0</v>
      </c>
      <c r="T43" s="89">
        <f t="shared" ref="T43:AI46" si="20">SUM($J$41:$AV$41*(T$4=$J$4:$AV$4)*($B43=$J$11:$AV$11))</f>
        <v>0</v>
      </c>
      <c r="U43" s="89">
        <f t="shared" si="20"/>
        <v>0</v>
      </c>
      <c r="V43" s="89">
        <f t="shared" si="20"/>
        <v>0</v>
      </c>
      <c r="W43" s="89">
        <f t="shared" si="20"/>
        <v>0</v>
      </c>
      <c r="X43" s="89">
        <f t="shared" si="20"/>
        <v>0</v>
      </c>
      <c r="Y43" s="89">
        <f t="shared" si="20"/>
        <v>0</v>
      </c>
      <c r="Z43" s="89">
        <f t="shared" si="20"/>
        <v>0</v>
      </c>
      <c r="AA43" s="89">
        <f t="shared" si="20"/>
        <v>0</v>
      </c>
      <c r="AB43" s="89">
        <f t="shared" si="20"/>
        <v>0</v>
      </c>
      <c r="AC43" s="89">
        <f t="shared" si="20"/>
        <v>0</v>
      </c>
      <c r="AD43" s="89">
        <f t="shared" si="20"/>
        <v>0</v>
      </c>
      <c r="AE43" s="89">
        <f t="shared" si="20"/>
        <v>0</v>
      </c>
      <c r="AF43" s="89">
        <f t="shared" si="20"/>
        <v>0</v>
      </c>
      <c r="AG43" s="89">
        <f t="shared" si="20"/>
        <v>0</v>
      </c>
      <c r="AH43" s="89">
        <f t="shared" si="20"/>
        <v>0</v>
      </c>
      <c r="AI43" s="89">
        <f t="shared" si="20"/>
        <v>0</v>
      </c>
      <c r="AJ43" s="89">
        <f t="shared" ref="AJ43:AV46" si="21">SUM($J$41:$AV$41*(AJ$4=$J$4:$AV$4)*($B43=$J$11:$AV$11))</f>
        <v>0</v>
      </c>
      <c r="AK43" s="89">
        <f t="shared" si="21"/>
        <v>0</v>
      </c>
      <c r="AL43" s="89">
        <f t="shared" si="21"/>
        <v>0</v>
      </c>
      <c r="AM43" s="89">
        <f t="shared" si="21"/>
        <v>0</v>
      </c>
      <c r="AN43" s="89">
        <f t="shared" si="21"/>
        <v>0</v>
      </c>
      <c r="AO43" s="89">
        <f t="shared" si="21"/>
        <v>0</v>
      </c>
      <c r="AP43" s="89">
        <f t="shared" si="21"/>
        <v>0</v>
      </c>
      <c r="AQ43" s="89">
        <f t="shared" si="21"/>
        <v>0</v>
      </c>
      <c r="AR43" s="89">
        <f t="shared" si="21"/>
        <v>0</v>
      </c>
      <c r="AS43" s="89">
        <f t="shared" si="21"/>
        <v>0</v>
      </c>
      <c r="AT43" s="89">
        <f t="shared" si="21"/>
        <v>0</v>
      </c>
      <c r="AU43" s="89">
        <f t="shared" si="21"/>
        <v>0</v>
      </c>
      <c r="AV43" s="89">
        <f t="shared" si="21"/>
        <v>0</v>
      </c>
    </row>
    <row r="44" spans="1:48">
      <c r="A44" s="185" t="s">
        <v>16</v>
      </c>
      <c r="B44" s="269" t="str">
        <f>C15</f>
        <v>B</v>
      </c>
      <c r="C44" s="264"/>
      <c r="E44" s="89"/>
      <c r="F44" s="89"/>
      <c r="G44" s="89"/>
      <c r="H44" s="89"/>
      <c r="I44" s="165"/>
      <c r="J44" s="89">
        <f t="shared" si="19"/>
        <v>0</v>
      </c>
      <c r="K44" s="89">
        <f t="shared" si="19"/>
        <v>0</v>
      </c>
      <c r="L44" s="89">
        <f t="shared" si="19"/>
        <v>0</v>
      </c>
      <c r="M44" s="89">
        <f t="shared" si="19"/>
        <v>0</v>
      </c>
      <c r="N44" s="89">
        <f t="shared" si="19"/>
        <v>0</v>
      </c>
      <c r="O44" s="89">
        <f t="shared" si="19"/>
        <v>0</v>
      </c>
      <c r="P44" s="89">
        <f t="shared" si="19"/>
        <v>1.8300629745317494</v>
      </c>
      <c r="Q44" s="89">
        <f t="shared" si="19"/>
        <v>1.9544722710247591</v>
      </c>
      <c r="R44" s="89">
        <f t="shared" si="19"/>
        <v>1.1127306122318004</v>
      </c>
      <c r="S44" s="89">
        <f t="shared" si="19"/>
        <v>2.2767143359906363</v>
      </c>
      <c r="T44" s="89">
        <f t="shared" si="20"/>
        <v>2.2477954326853471</v>
      </c>
      <c r="U44" s="89">
        <f t="shared" si="20"/>
        <v>2.2298343044357765</v>
      </c>
      <c r="V44" s="89">
        <f t="shared" si="20"/>
        <v>2.1956294764694455</v>
      </c>
      <c r="W44" s="89">
        <f t="shared" si="20"/>
        <v>2.2254885351137759</v>
      </c>
      <c r="X44" s="89">
        <f t="shared" si="20"/>
        <v>2.4046914396670864</v>
      </c>
      <c r="Y44" s="89">
        <f t="shared" si="20"/>
        <v>2.3760146230131411</v>
      </c>
      <c r="Z44" s="89">
        <f t="shared" si="20"/>
        <v>2.4187734301667092</v>
      </c>
      <c r="AA44" s="89">
        <f t="shared" si="20"/>
        <v>2.4456455132481736</v>
      </c>
      <c r="AB44" s="89">
        <f t="shared" si="20"/>
        <v>2.4688418771491314</v>
      </c>
      <c r="AC44" s="89">
        <f t="shared" si="20"/>
        <v>0</v>
      </c>
      <c r="AD44" s="89">
        <f t="shared" si="20"/>
        <v>0</v>
      </c>
      <c r="AE44" s="89">
        <f t="shared" si="20"/>
        <v>0</v>
      </c>
      <c r="AF44" s="89">
        <f t="shared" si="20"/>
        <v>0</v>
      </c>
      <c r="AG44" s="89">
        <f t="shared" si="20"/>
        <v>0</v>
      </c>
      <c r="AH44" s="89">
        <f t="shared" si="20"/>
        <v>0</v>
      </c>
      <c r="AI44" s="89">
        <f t="shared" si="20"/>
        <v>0</v>
      </c>
      <c r="AJ44" s="89">
        <f t="shared" si="21"/>
        <v>0</v>
      </c>
      <c r="AK44" s="89">
        <f t="shared" si="21"/>
        <v>0</v>
      </c>
      <c r="AL44" s="89">
        <f t="shared" si="21"/>
        <v>0</v>
      </c>
      <c r="AM44" s="89">
        <f t="shared" si="21"/>
        <v>0</v>
      </c>
      <c r="AN44" s="89">
        <f t="shared" si="21"/>
        <v>0</v>
      </c>
      <c r="AO44" s="89">
        <f t="shared" si="21"/>
        <v>0</v>
      </c>
      <c r="AP44" s="89">
        <f t="shared" si="21"/>
        <v>0</v>
      </c>
      <c r="AQ44" s="89">
        <f t="shared" si="21"/>
        <v>0</v>
      </c>
      <c r="AR44" s="89">
        <f t="shared" si="21"/>
        <v>0</v>
      </c>
      <c r="AS44" s="89">
        <f t="shared" si="21"/>
        <v>0</v>
      </c>
      <c r="AT44" s="89">
        <f t="shared" si="21"/>
        <v>0</v>
      </c>
      <c r="AU44" s="89">
        <f t="shared" si="21"/>
        <v>0</v>
      </c>
      <c r="AV44" s="89">
        <f t="shared" si="21"/>
        <v>0</v>
      </c>
    </row>
    <row r="45" spans="1:48">
      <c r="A45" s="185" t="s">
        <v>16</v>
      </c>
      <c r="B45" s="269" t="str">
        <f>C16</f>
        <v>C</v>
      </c>
      <c r="C45" s="264"/>
      <c r="E45" s="89"/>
      <c r="F45" s="89"/>
      <c r="G45" s="89"/>
      <c r="H45" s="89"/>
      <c r="I45" s="165"/>
      <c r="J45" s="89">
        <f t="shared" si="19"/>
        <v>0</v>
      </c>
      <c r="K45" s="89">
        <f t="shared" si="19"/>
        <v>0</v>
      </c>
      <c r="L45" s="89">
        <f t="shared" si="19"/>
        <v>0</v>
      </c>
      <c r="M45" s="89">
        <f t="shared" si="19"/>
        <v>0</v>
      </c>
      <c r="N45" s="89">
        <f t="shared" si="19"/>
        <v>0</v>
      </c>
      <c r="O45" s="89">
        <f t="shared" si="19"/>
        <v>0</v>
      </c>
      <c r="P45" s="89">
        <f t="shared" si="19"/>
        <v>0</v>
      </c>
      <c r="Q45" s="89">
        <f t="shared" si="19"/>
        <v>0</v>
      </c>
      <c r="R45" s="89">
        <f t="shared" si="19"/>
        <v>0</v>
      </c>
      <c r="S45" s="89">
        <f t="shared" si="19"/>
        <v>0</v>
      </c>
      <c r="T45" s="89">
        <f t="shared" si="20"/>
        <v>0</v>
      </c>
      <c r="U45" s="89">
        <f t="shared" si="20"/>
        <v>0</v>
      </c>
      <c r="V45" s="89">
        <f t="shared" si="20"/>
        <v>0</v>
      </c>
      <c r="W45" s="89">
        <f t="shared" si="20"/>
        <v>0</v>
      </c>
      <c r="X45" s="89">
        <f t="shared" si="20"/>
        <v>0</v>
      </c>
      <c r="Y45" s="89">
        <f t="shared" si="20"/>
        <v>0</v>
      </c>
      <c r="Z45" s="89">
        <f t="shared" si="20"/>
        <v>0</v>
      </c>
      <c r="AA45" s="89">
        <f t="shared" si="20"/>
        <v>0</v>
      </c>
      <c r="AB45" s="89">
        <f t="shared" si="20"/>
        <v>0</v>
      </c>
      <c r="AC45" s="89">
        <f t="shared" si="20"/>
        <v>2.6705955667718371</v>
      </c>
      <c r="AD45" s="89">
        <f t="shared" si="20"/>
        <v>2.6237776411817499</v>
      </c>
      <c r="AE45" s="89">
        <f t="shared" si="20"/>
        <v>2.7417902389839028</v>
      </c>
      <c r="AF45" s="89">
        <f t="shared" si="20"/>
        <v>2.8330886398134183</v>
      </c>
      <c r="AG45" s="89">
        <f t="shared" si="20"/>
        <v>2.9145702569305314</v>
      </c>
      <c r="AH45" s="89">
        <f t="shared" si="20"/>
        <v>2.9681618233150573</v>
      </c>
      <c r="AI45" s="89">
        <f t="shared" si="20"/>
        <v>3.0122797313331802</v>
      </c>
      <c r="AJ45" s="89">
        <f t="shared" si="21"/>
        <v>3.014025878707173</v>
      </c>
      <c r="AK45" s="89">
        <f t="shared" si="21"/>
        <v>3.0603681691714186</v>
      </c>
      <c r="AL45" s="89">
        <f t="shared" si="21"/>
        <v>3.1459068974207582</v>
      </c>
      <c r="AM45" s="89">
        <f t="shared" si="21"/>
        <v>0</v>
      </c>
      <c r="AN45" s="89">
        <f t="shared" si="21"/>
        <v>0</v>
      </c>
      <c r="AO45" s="89">
        <f t="shared" si="21"/>
        <v>0</v>
      </c>
      <c r="AP45" s="89">
        <f t="shared" si="21"/>
        <v>0</v>
      </c>
      <c r="AQ45" s="89">
        <f t="shared" si="21"/>
        <v>0</v>
      </c>
      <c r="AR45" s="89">
        <f t="shared" si="21"/>
        <v>0</v>
      </c>
      <c r="AS45" s="89">
        <f t="shared" si="21"/>
        <v>0</v>
      </c>
      <c r="AT45" s="89">
        <f t="shared" si="21"/>
        <v>0</v>
      </c>
      <c r="AU45" s="89">
        <f t="shared" si="21"/>
        <v>0</v>
      </c>
      <c r="AV45" s="89">
        <f t="shared" si="21"/>
        <v>0</v>
      </c>
    </row>
    <row r="46" spans="1:48">
      <c r="A46" s="185" t="s">
        <v>16</v>
      </c>
      <c r="B46" s="269" t="str">
        <f>C17</f>
        <v>D</v>
      </c>
      <c r="C46" s="264"/>
      <c r="E46" s="89"/>
      <c r="F46" s="89"/>
      <c r="G46" s="89"/>
      <c r="H46" s="89"/>
      <c r="I46" s="165"/>
      <c r="J46" s="89">
        <f t="shared" si="19"/>
        <v>0</v>
      </c>
      <c r="K46" s="89">
        <f t="shared" si="19"/>
        <v>0</v>
      </c>
      <c r="L46" s="89">
        <f t="shared" si="19"/>
        <v>0</v>
      </c>
      <c r="M46" s="89">
        <f t="shared" si="19"/>
        <v>0</v>
      </c>
      <c r="N46" s="89">
        <f t="shared" si="19"/>
        <v>0</v>
      </c>
      <c r="O46" s="89">
        <f t="shared" si="19"/>
        <v>0</v>
      </c>
      <c r="P46" s="89">
        <f t="shared" si="19"/>
        <v>0</v>
      </c>
      <c r="Q46" s="89">
        <f t="shared" si="19"/>
        <v>0</v>
      </c>
      <c r="R46" s="89">
        <f t="shared" si="19"/>
        <v>0</v>
      </c>
      <c r="S46" s="89">
        <f t="shared" si="19"/>
        <v>0</v>
      </c>
      <c r="T46" s="89">
        <f t="shared" si="20"/>
        <v>0</v>
      </c>
      <c r="U46" s="89">
        <f t="shared" si="20"/>
        <v>0</v>
      </c>
      <c r="V46" s="89">
        <f t="shared" si="20"/>
        <v>0</v>
      </c>
      <c r="W46" s="89">
        <f t="shared" si="20"/>
        <v>0</v>
      </c>
      <c r="X46" s="89">
        <f t="shared" si="20"/>
        <v>0</v>
      </c>
      <c r="Y46" s="89">
        <f t="shared" si="20"/>
        <v>0</v>
      </c>
      <c r="Z46" s="89">
        <f t="shared" si="20"/>
        <v>0</v>
      </c>
      <c r="AA46" s="89">
        <f t="shared" si="20"/>
        <v>0</v>
      </c>
      <c r="AB46" s="89">
        <f t="shared" si="20"/>
        <v>0</v>
      </c>
      <c r="AC46" s="89">
        <f t="shared" si="20"/>
        <v>0</v>
      </c>
      <c r="AD46" s="89">
        <f t="shared" si="20"/>
        <v>0</v>
      </c>
      <c r="AE46" s="89">
        <f t="shared" si="20"/>
        <v>0</v>
      </c>
      <c r="AF46" s="89">
        <f t="shared" si="20"/>
        <v>0</v>
      </c>
      <c r="AG46" s="89">
        <f t="shared" si="20"/>
        <v>0</v>
      </c>
      <c r="AH46" s="89">
        <f t="shared" si="20"/>
        <v>0</v>
      </c>
      <c r="AI46" s="89">
        <f t="shared" si="20"/>
        <v>0</v>
      </c>
      <c r="AJ46" s="89">
        <f t="shared" si="21"/>
        <v>0</v>
      </c>
      <c r="AK46" s="89">
        <f t="shared" si="21"/>
        <v>0</v>
      </c>
      <c r="AL46" s="89">
        <f t="shared" si="21"/>
        <v>0</v>
      </c>
      <c r="AM46" s="89">
        <f t="shared" si="21"/>
        <v>3.3823221444827354</v>
      </c>
      <c r="AN46" s="89">
        <f t="shared" si="21"/>
        <v>3.3385854175597842</v>
      </c>
      <c r="AO46" s="89">
        <f t="shared" si="21"/>
        <v>3.297126372108913</v>
      </c>
      <c r="AP46" s="89">
        <f t="shared" si="21"/>
        <v>3.2577565079711661</v>
      </c>
      <c r="AQ46" s="89">
        <f t="shared" si="21"/>
        <v>3.2203083461933346</v>
      </c>
      <c r="AR46" s="89">
        <f t="shared" si="21"/>
        <v>3.7049026748879896</v>
      </c>
      <c r="AS46" s="89">
        <f t="shared" si="21"/>
        <v>3.652017081431552</v>
      </c>
      <c r="AT46" s="89">
        <f t="shared" si="21"/>
        <v>3.6020415823041105</v>
      </c>
      <c r="AU46" s="89">
        <f t="shared" si="21"/>
        <v>3.554722165974141</v>
      </c>
      <c r="AV46" s="89">
        <f t="shared" si="21"/>
        <v>3.6792873611379662</v>
      </c>
    </row>
    <row r="47" spans="1:48">
      <c r="A47" s="185" t="s">
        <v>16</v>
      </c>
      <c r="B47" s="264"/>
      <c r="C47" s="264"/>
      <c r="E47" s="89"/>
      <c r="F47" s="89"/>
      <c r="G47" s="89"/>
      <c r="H47" s="89"/>
      <c r="I47" s="165"/>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row>
    <row r="48" spans="1:48">
      <c r="A48" s="185" t="s">
        <v>16</v>
      </c>
      <c r="B48" s="269" t="s">
        <v>237</v>
      </c>
      <c r="C48" s="264"/>
      <c r="E48" s="89"/>
      <c r="F48" s="89"/>
      <c r="G48" s="89"/>
      <c r="H48" s="89"/>
      <c r="I48" s="165"/>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row>
    <row r="49" spans="1:48">
      <c r="A49" s="185" t="s">
        <v>16</v>
      </c>
      <c r="B49" s="269" t="str">
        <f>B43</f>
        <v>A</v>
      </c>
      <c r="C49" s="264"/>
      <c r="E49" s="89"/>
      <c r="F49" s="89"/>
      <c r="G49" s="89"/>
      <c r="H49" s="89"/>
      <c r="I49" s="165" t="str">
        <f>B43</f>
        <v>A</v>
      </c>
      <c r="J49" s="89">
        <f>J36</f>
        <v>0</v>
      </c>
      <c r="K49" s="89">
        <f t="shared" ref="K49:AV52" si="22">J49+K43</f>
        <v>0</v>
      </c>
      <c r="L49" s="89">
        <f t="shared" si="22"/>
        <v>0</v>
      </c>
      <c r="M49" s="89">
        <f t="shared" si="22"/>
        <v>0</v>
      </c>
      <c r="N49" s="89">
        <f t="shared" si="22"/>
        <v>0</v>
      </c>
      <c r="O49" s="89">
        <f t="shared" si="22"/>
        <v>0</v>
      </c>
      <c r="P49" s="89">
        <f t="shared" si="22"/>
        <v>0</v>
      </c>
      <c r="Q49" s="89">
        <f t="shared" si="22"/>
        <v>0</v>
      </c>
      <c r="R49" s="89">
        <f t="shared" si="22"/>
        <v>0</v>
      </c>
      <c r="S49" s="89">
        <f t="shared" si="22"/>
        <v>0</v>
      </c>
      <c r="T49" s="89">
        <f t="shared" si="22"/>
        <v>0</v>
      </c>
      <c r="U49" s="89">
        <f t="shared" si="22"/>
        <v>0</v>
      </c>
      <c r="V49" s="89">
        <f t="shared" si="22"/>
        <v>0</v>
      </c>
      <c r="W49" s="89">
        <f t="shared" si="22"/>
        <v>0</v>
      </c>
      <c r="X49" s="89">
        <f t="shared" si="22"/>
        <v>0</v>
      </c>
      <c r="Y49" s="89">
        <f t="shared" si="22"/>
        <v>0</v>
      </c>
      <c r="Z49" s="89">
        <f t="shared" si="22"/>
        <v>0</v>
      </c>
      <c r="AA49" s="89">
        <f t="shared" si="22"/>
        <v>0</v>
      </c>
      <c r="AB49" s="89">
        <f t="shared" si="22"/>
        <v>0</v>
      </c>
      <c r="AC49" s="89">
        <f t="shared" si="22"/>
        <v>0</v>
      </c>
      <c r="AD49" s="89">
        <f t="shared" si="22"/>
        <v>0</v>
      </c>
      <c r="AE49" s="89">
        <f t="shared" si="22"/>
        <v>0</v>
      </c>
      <c r="AF49" s="89">
        <f t="shared" si="22"/>
        <v>0</v>
      </c>
      <c r="AG49" s="89">
        <f t="shared" si="22"/>
        <v>0</v>
      </c>
      <c r="AH49" s="89">
        <f t="shared" si="22"/>
        <v>0</v>
      </c>
      <c r="AI49" s="89">
        <f t="shared" si="22"/>
        <v>0</v>
      </c>
      <c r="AJ49" s="89">
        <f t="shared" si="22"/>
        <v>0</v>
      </c>
      <c r="AK49" s="89">
        <f t="shared" si="22"/>
        <v>0</v>
      </c>
      <c r="AL49" s="89">
        <f t="shared" si="22"/>
        <v>0</v>
      </c>
      <c r="AM49" s="89">
        <f t="shared" si="22"/>
        <v>0</v>
      </c>
      <c r="AN49" s="89">
        <f t="shared" si="22"/>
        <v>0</v>
      </c>
      <c r="AO49" s="89">
        <f t="shared" si="22"/>
        <v>0</v>
      </c>
      <c r="AP49" s="89">
        <f t="shared" si="22"/>
        <v>0</v>
      </c>
      <c r="AQ49" s="89">
        <f t="shared" si="22"/>
        <v>0</v>
      </c>
      <c r="AR49" s="89">
        <f t="shared" si="22"/>
        <v>0</v>
      </c>
      <c r="AS49" s="89">
        <f t="shared" si="22"/>
        <v>0</v>
      </c>
      <c r="AT49" s="89">
        <f t="shared" si="22"/>
        <v>0</v>
      </c>
      <c r="AU49" s="89">
        <f t="shared" si="22"/>
        <v>0</v>
      </c>
      <c r="AV49" s="89">
        <f t="shared" si="22"/>
        <v>0</v>
      </c>
    </row>
    <row r="50" spans="1:48">
      <c r="A50" s="185" t="s">
        <v>16</v>
      </c>
      <c r="B50" s="269" t="str">
        <f>B44</f>
        <v>B</v>
      </c>
      <c r="C50" s="264"/>
      <c r="E50" s="89"/>
      <c r="F50" s="89"/>
      <c r="G50" s="89"/>
      <c r="H50" s="89"/>
      <c r="I50" s="165" t="str">
        <f>B44</f>
        <v>B</v>
      </c>
      <c r="J50" s="89">
        <v>0</v>
      </c>
      <c r="K50" s="89">
        <f t="shared" si="22"/>
        <v>0</v>
      </c>
      <c r="L50" s="89">
        <f t="shared" si="22"/>
        <v>0</v>
      </c>
      <c r="M50" s="89">
        <f t="shared" si="22"/>
        <v>0</v>
      </c>
      <c r="N50" s="89">
        <f t="shared" si="22"/>
        <v>0</v>
      </c>
      <c r="O50" s="89">
        <f t="shared" si="22"/>
        <v>0</v>
      </c>
      <c r="P50" s="89">
        <f t="shared" si="22"/>
        <v>1.8300629745317494</v>
      </c>
      <c r="Q50" s="89">
        <f t="shared" si="22"/>
        <v>3.7845352455565084</v>
      </c>
      <c r="R50" s="89">
        <f t="shared" si="22"/>
        <v>4.8972658577883088</v>
      </c>
      <c r="S50" s="89">
        <f t="shared" si="22"/>
        <v>7.1739801937789451</v>
      </c>
      <c r="T50" s="89">
        <f t="shared" si="22"/>
        <v>9.4217756264642922</v>
      </c>
      <c r="U50" s="89">
        <f t="shared" si="22"/>
        <v>11.651609930900069</v>
      </c>
      <c r="V50" s="89">
        <f t="shared" si="22"/>
        <v>13.847239407369514</v>
      </c>
      <c r="W50" s="89">
        <f t="shared" si="22"/>
        <v>16.07272794248329</v>
      </c>
      <c r="X50" s="89">
        <f t="shared" si="22"/>
        <v>18.477419382150376</v>
      </c>
      <c r="Y50" s="89">
        <f t="shared" si="22"/>
        <v>20.853434005163518</v>
      </c>
      <c r="Z50" s="89">
        <f t="shared" si="22"/>
        <v>23.272207435330227</v>
      </c>
      <c r="AA50" s="89">
        <f t="shared" si="22"/>
        <v>25.7178529485784</v>
      </c>
      <c r="AB50" s="89">
        <f t="shared" si="22"/>
        <v>28.186694825727532</v>
      </c>
      <c r="AC50" s="89">
        <f t="shared" si="22"/>
        <v>28.186694825727532</v>
      </c>
      <c r="AD50" s="89">
        <f t="shared" si="22"/>
        <v>28.186694825727532</v>
      </c>
      <c r="AE50" s="89">
        <f t="shared" si="22"/>
        <v>28.186694825727532</v>
      </c>
      <c r="AF50" s="89">
        <f t="shared" si="22"/>
        <v>28.186694825727532</v>
      </c>
      <c r="AG50" s="89">
        <f t="shared" si="22"/>
        <v>28.186694825727532</v>
      </c>
      <c r="AH50" s="89">
        <f t="shared" si="22"/>
        <v>28.186694825727532</v>
      </c>
      <c r="AI50" s="89">
        <f t="shared" si="22"/>
        <v>28.186694825727532</v>
      </c>
      <c r="AJ50" s="89">
        <f t="shared" si="22"/>
        <v>28.186694825727532</v>
      </c>
      <c r="AK50" s="89">
        <f t="shared" si="22"/>
        <v>28.186694825727532</v>
      </c>
      <c r="AL50" s="89">
        <f t="shared" si="22"/>
        <v>28.186694825727532</v>
      </c>
      <c r="AM50" s="89">
        <f t="shared" si="22"/>
        <v>28.186694825727532</v>
      </c>
      <c r="AN50" s="89">
        <f t="shared" si="22"/>
        <v>28.186694825727532</v>
      </c>
      <c r="AO50" s="89">
        <f t="shared" si="22"/>
        <v>28.186694825727532</v>
      </c>
      <c r="AP50" s="89">
        <f t="shared" si="22"/>
        <v>28.186694825727532</v>
      </c>
      <c r="AQ50" s="89">
        <f t="shared" si="22"/>
        <v>28.186694825727532</v>
      </c>
      <c r="AR50" s="89">
        <f t="shared" si="22"/>
        <v>28.186694825727532</v>
      </c>
      <c r="AS50" s="89">
        <f t="shared" si="22"/>
        <v>28.186694825727532</v>
      </c>
      <c r="AT50" s="89">
        <f t="shared" si="22"/>
        <v>28.186694825727532</v>
      </c>
      <c r="AU50" s="89">
        <f t="shared" si="22"/>
        <v>28.186694825727532</v>
      </c>
      <c r="AV50" s="89">
        <f t="shared" si="22"/>
        <v>28.186694825727532</v>
      </c>
    </row>
    <row r="51" spans="1:48">
      <c r="A51" s="185" t="s">
        <v>16</v>
      </c>
      <c r="B51" s="269" t="str">
        <f>B45</f>
        <v>C</v>
      </c>
      <c r="C51" s="264"/>
      <c r="E51" s="89"/>
      <c r="F51" s="89"/>
      <c r="G51" s="89"/>
      <c r="H51" s="89"/>
      <c r="I51" s="165" t="str">
        <f>B45</f>
        <v>C</v>
      </c>
      <c r="J51" s="89">
        <v>0</v>
      </c>
      <c r="K51" s="89">
        <f t="shared" si="22"/>
        <v>0</v>
      </c>
      <c r="L51" s="89">
        <f t="shared" si="22"/>
        <v>0</v>
      </c>
      <c r="M51" s="89">
        <f t="shared" si="22"/>
        <v>0</v>
      </c>
      <c r="N51" s="89">
        <f t="shared" si="22"/>
        <v>0</v>
      </c>
      <c r="O51" s="89">
        <f t="shared" si="22"/>
        <v>0</v>
      </c>
      <c r="P51" s="89">
        <f t="shared" si="22"/>
        <v>0</v>
      </c>
      <c r="Q51" s="89">
        <f t="shared" si="22"/>
        <v>0</v>
      </c>
      <c r="R51" s="89">
        <f t="shared" si="22"/>
        <v>0</v>
      </c>
      <c r="S51" s="89">
        <f t="shared" si="22"/>
        <v>0</v>
      </c>
      <c r="T51" s="89">
        <f t="shared" si="22"/>
        <v>0</v>
      </c>
      <c r="U51" s="89">
        <f t="shared" si="22"/>
        <v>0</v>
      </c>
      <c r="V51" s="89">
        <f t="shared" si="22"/>
        <v>0</v>
      </c>
      <c r="W51" s="89">
        <f t="shared" si="22"/>
        <v>0</v>
      </c>
      <c r="X51" s="89">
        <f t="shared" si="22"/>
        <v>0</v>
      </c>
      <c r="Y51" s="89">
        <f t="shared" si="22"/>
        <v>0</v>
      </c>
      <c r="Z51" s="89">
        <f t="shared" si="22"/>
        <v>0</v>
      </c>
      <c r="AA51" s="89">
        <f t="shared" si="22"/>
        <v>0</v>
      </c>
      <c r="AB51" s="89">
        <f t="shared" si="22"/>
        <v>0</v>
      </c>
      <c r="AC51" s="89">
        <f t="shared" si="22"/>
        <v>2.6705955667718371</v>
      </c>
      <c r="AD51" s="89">
        <f t="shared" si="22"/>
        <v>5.294373207953587</v>
      </c>
      <c r="AE51" s="89">
        <f t="shared" si="22"/>
        <v>8.0361634469374899</v>
      </c>
      <c r="AF51" s="89">
        <f t="shared" si="22"/>
        <v>10.869252086750908</v>
      </c>
      <c r="AG51" s="89">
        <f t="shared" si="22"/>
        <v>13.78382234368144</v>
      </c>
      <c r="AH51" s="89">
        <f t="shared" si="22"/>
        <v>16.751984166996497</v>
      </c>
      <c r="AI51" s="89">
        <f t="shared" si="22"/>
        <v>19.764263898329677</v>
      </c>
      <c r="AJ51" s="89">
        <f t="shared" si="22"/>
        <v>22.77828977703685</v>
      </c>
      <c r="AK51" s="89">
        <f t="shared" si="22"/>
        <v>25.838657946208269</v>
      </c>
      <c r="AL51" s="89">
        <f t="shared" si="22"/>
        <v>28.984564843629027</v>
      </c>
      <c r="AM51" s="89">
        <f t="shared" si="22"/>
        <v>28.984564843629027</v>
      </c>
      <c r="AN51" s="89">
        <f t="shared" si="22"/>
        <v>28.984564843629027</v>
      </c>
      <c r="AO51" s="89">
        <f t="shared" si="22"/>
        <v>28.984564843629027</v>
      </c>
      <c r="AP51" s="89">
        <f t="shared" si="22"/>
        <v>28.984564843629027</v>
      </c>
      <c r="AQ51" s="89">
        <f t="shared" si="22"/>
        <v>28.984564843629027</v>
      </c>
      <c r="AR51" s="89">
        <f t="shared" si="22"/>
        <v>28.984564843629027</v>
      </c>
      <c r="AS51" s="89">
        <f t="shared" si="22"/>
        <v>28.984564843629027</v>
      </c>
      <c r="AT51" s="89">
        <f t="shared" si="22"/>
        <v>28.984564843629027</v>
      </c>
      <c r="AU51" s="89">
        <f t="shared" si="22"/>
        <v>28.984564843629027</v>
      </c>
      <c r="AV51" s="89">
        <f t="shared" si="22"/>
        <v>28.984564843629027</v>
      </c>
    </row>
    <row r="52" spans="1:48">
      <c r="A52" s="185" t="s">
        <v>16</v>
      </c>
      <c r="B52" s="269" t="str">
        <f>B46</f>
        <v>D</v>
      </c>
      <c r="C52" s="264"/>
      <c r="E52" s="89"/>
      <c r="F52" s="89"/>
      <c r="G52" s="89"/>
      <c r="H52" s="89"/>
      <c r="I52" s="165" t="str">
        <f>B46</f>
        <v>D</v>
      </c>
      <c r="J52" s="89">
        <v>0</v>
      </c>
      <c r="K52" s="89">
        <f t="shared" si="22"/>
        <v>0</v>
      </c>
      <c r="L52" s="89">
        <f t="shared" si="22"/>
        <v>0</v>
      </c>
      <c r="M52" s="89">
        <f t="shared" si="22"/>
        <v>0</v>
      </c>
      <c r="N52" s="89">
        <f t="shared" si="22"/>
        <v>0</v>
      </c>
      <c r="O52" s="89">
        <f t="shared" si="22"/>
        <v>0</v>
      </c>
      <c r="P52" s="89">
        <f t="shared" si="22"/>
        <v>0</v>
      </c>
      <c r="Q52" s="89">
        <f t="shared" si="22"/>
        <v>0</v>
      </c>
      <c r="R52" s="89">
        <f t="shared" si="22"/>
        <v>0</v>
      </c>
      <c r="S52" s="89">
        <f t="shared" si="22"/>
        <v>0</v>
      </c>
      <c r="T52" s="89">
        <f t="shared" si="22"/>
        <v>0</v>
      </c>
      <c r="U52" s="89">
        <f t="shared" si="22"/>
        <v>0</v>
      </c>
      <c r="V52" s="89">
        <f t="shared" si="22"/>
        <v>0</v>
      </c>
      <c r="W52" s="89">
        <f t="shared" si="22"/>
        <v>0</v>
      </c>
      <c r="X52" s="89">
        <f t="shared" si="22"/>
        <v>0</v>
      </c>
      <c r="Y52" s="89">
        <f t="shared" si="22"/>
        <v>0</v>
      </c>
      <c r="Z52" s="89">
        <f t="shared" si="22"/>
        <v>0</v>
      </c>
      <c r="AA52" s="89">
        <f t="shared" si="22"/>
        <v>0</v>
      </c>
      <c r="AB52" s="89">
        <f t="shared" si="22"/>
        <v>0</v>
      </c>
      <c r="AC52" s="89">
        <f t="shared" si="22"/>
        <v>0</v>
      </c>
      <c r="AD52" s="89">
        <f t="shared" si="22"/>
        <v>0</v>
      </c>
      <c r="AE52" s="89">
        <f t="shared" si="22"/>
        <v>0</v>
      </c>
      <c r="AF52" s="89">
        <f t="shared" si="22"/>
        <v>0</v>
      </c>
      <c r="AG52" s="89">
        <f t="shared" si="22"/>
        <v>0</v>
      </c>
      <c r="AH52" s="89">
        <f t="shared" si="22"/>
        <v>0</v>
      </c>
      <c r="AI52" s="89">
        <f t="shared" si="22"/>
        <v>0</v>
      </c>
      <c r="AJ52" s="89">
        <f t="shared" si="22"/>
        <v>0</v>
      </c>
      <c r="AK52" s="89">
        <f t="shared" si="22"/>
        <v>0</v>
      </c>
      <c r="AL52" s="89">
        <f t="shared" si="22"/>
        <v>0</v>
      </c>
      <c r="AM52" s="89">
        <f t="shared" si="22"/>
        <v>3.3823221444827354</v>
      </c>
      <c r="AN52" s="89">
        <f t="shared" si="22"/>
        <v>6.7209075620425196</v>
      </c>
      <c r="AO52" s="89">
        <f t="shared" si="22"/>
        <v>10.018033934151433</v>
      </c>
      <c r="AP52" s="89">
        <f t="shared" si="22"/>
        <v>13.275790442122599</v>
      </c>
      <c r="AQ52" s="89">
        <f t="shared" si="22"/>
        <v>16.496098788315933</v>
      </c>
      <c r="AR52" s="89">
        <f t="shared" si="22"/>
        <v>20.201001463203923</v>
      </c>
      <c r="AS52" s="89">
        <f t="shared" si="22"/>
        <v>23.853018544635475</v>
      </c>
      <c r="AT52" s="89">
        <f t="shared" si="22"/>
        <v>27.455060126939586</v>
      </c>
      <c r="AU52" s="89">
        <f t="shared" si="22"/>
        <v>31.009782292913727</v>
      </c>
      <c r="AV52" s="89">
        <f t="shared" si="22"/>
        <v>34.689069654051693</v>
      </c>
    </row>
    <row r="53" spans="1:48">
      <c r="A53" s="185" t="s">
        <v>16</v>
      </c>
      <c r="B53" s="264" t="s">
        <v>238</v>
      </c>
      <c r="C53" s="264"/>
      <c r="E53" s="89"/>
      <c r="F53" s="89"/>
      <c r="G53" s="89"/>
      <c r="H53" s="89"/>
      <c r="I53" s="165"/>
      <c r="J53" s="89">
        <f t="shared" ref="J53:AV53" si="23">SUM(J49:J52)</f>
        <v>0</v>
      </c>
      <c r="K53" s="89">
        <f t="shared" si="23"/>
        <v>0</v>
      </c>
      <c r="L53" s="89">
        <f t="shared" si="23"/>
        <v>0</v>
      </c>
      <c r="M53" s="89">
        <f t="shared" si="23"/>
        <v>0</v>
      </c>
      <c r="N53" s="89">
        <f t="shared" si="23"/>
        <v>0</v>
      </c>
      <c r="O53" s="89">
        <f t="shared" si="23"/>
        <v>0</v>
      </c>
      <c r="P53" s="89">
        <f t="shared" si="23"/>
        <v>1.8300629745317494</v>
      </c>
      <c r="Q53" s="89">
        <f t="shared" si="23"/>
        <v>3.7845352455565084</v>
      </c>
      <c r="R53" s="89">
        <f t="shared" si="23"/>
        <v>4.8972658577883088</v>
      </c>
      <c r="S53" s="89">
        <f t="shared" si="23"/>
        <v>7.1739801937789451</v>
      </c>
      <c r="T53" s="89">
        <f t="shared" si="23"/>
        <v>9.4217756264642922</v>
      </c>
      <c r="U53" s="89">
        <f t="shared" si="23"/>
        <v>11.651609930900069</v>
      </c>
      <c r="V53" s="89">
        <f t="shared" si="23"/>
        <v>13.847239407369514</v>
      </c>
      <c r="W53" s="89">
        <f t="shared" si="23"/>
        <v>16.07272794248329</v>
      </c>
      <c r="X53" s="89">
        <f t="shared" si="23"/>
        <v>18.477419382150376</v>
      </c>
      <c r="Y53" s="89">
        <f t="shared" si="23"/>
        <v>20.853434005163518</v>
      </c>
      <c r="Z53" s="89">
        <f t="shared" si="23"/>
        <v>23.272207435330227</v>
      </c>
      <c r="AA53" s="89">
        <f t="shared" si="23"/>
        <v>25.7178529485784</v>
      </c>
      <c r="AB53" s="89">
        <f t="shared" si="23"/>
        <v>28.186694825727532</v>
      </c>
      <c r="AC53" s="89">
        <f t="shared" si="23"/>
        <v>30.857290392499369</v>
      </c>
      <c r="AD53" s="89">
        <f t="shared" si="23"/>
        <v>33.481068033681119</v>
      </c>
      <c r="AE53" s="89">
        <f t="shared" si="23"/>
        <v>36.222858272665022</v>
      </c>
      <c r="AF53" s="89">
        <f t="shared" si="23"/>
        <v>39.05594691247844</v>
      </c>
      <c r="AG53" s="89">
        <f t="shared" si="23"/>
        <v>41.970517169408971</v>
      </c>
      <c r="AH53" s="89">
        <f t="shared" si="23"/>
        <v>44.938678992724029</v>
      </c>
      <c r="AI53" s="89">
        <f t="shared" si="23"/>
        <v>47.950958724057209</v>
      </c>
      <c r="AJ53" s="89">
        <f t="shared" si="23"/>
        <v>50.964984602764382</v>
      </c>
      <c r="AK53" s="89">
        <f t="shared" si="23"/>
        <v>54.0253527719358</v>
      </c>
      <c r="AL53" s="89">
        <f t="shared" si="23"/>
        <v>57.171259669356559</v>
      </c>
      <c r="AM53" s="89">
        <f t="shared" si="23"/>
        <v>60.553581813839294</v>
      </c>
      <c r="AN53" s="89">
        <f t="shared" si="23"/>
        <v>63.892167231399078</v>
      </c>
      <c r="AO53" s="89">
        <f t="shared" si="23"/>
        <v>67.189293603507991</v>
      </c>
      <c r="AP53" s="89">
        <f t="shared" si="23"/>
        <v>70.447050111479157</v>
      </c>
      <c r="AQ53" s="89">
        <f t="shared" si="23"/>
        <v>73.667358457672492</v>
      </c>
      <c r="AR53" s="89">
        <f t="shared" si="23"/>
        <v>77.372261132560482</v>
      </c>
      <c r="AS53" s="89">
        <f t="shared" si="23"/>
        <v>81.024278213992034</v>
      </c>
      <c r="AT53" s="89">
        <f t="shared" si="23"/>
        <v>84.626319796296144</v>
      </c>
      <c r="AU53" s="89">
        <f t="shared" si="23"/>
        <v>88.181041962270285</v>
      </c>
      <c r="AV53" s="89">
        <f t="shared" si="23"/>
        <v>91.860329323408251</v>
      </c>
    </row>
    <row r="54" spans="1:48">
      <c r="A54" s="185" t="s">
        <v>16</v>
      </c>
      <c r="B54" s="264"/>
      <c r="I54" s="151"/>
      <c r="J54" s="89"/>
      <c r="K54" s="87"/>
      <c r="AV54" s="89"/>
    </row>
    <row r="55" spans="1:48" ht="15.75" thickBot="1">
      <c r="A55" s="185" t="s">
        <v>16</v>
      </c>
      <c r="B55" s="85" t="s">
        <v>14</v>
      </c>
      <c r="C55" s="85" t="s">
        <v>498</v>
      </c>
      <c r="D55" s="85" t="s">
        <v>496</v>
      </c>
      <c r="E55" s="85">
        <v>2017</v>
      </c>
      <c r="F55" s="85" t="s">
        <v>497</v>
      </c>
      <c r="G55" s="87">
        <v>2017</v>
      </c>
      <c r="I55" s="151"/>
      <c r="K55" s="87"/>
    </row>
    <row r="56" spans="1:48">
      <c r="A56" s="185" t="s">
        <v>16</v>
      </c>
      <c r="B56" s="89" t="s">
        <v>72</v>
      </c>
      <c r="C56" s="89" t="s">
        <v>112</v>
      </c>
      <c r="D56" s="102">
        <f t="shared" ref="D56:E64" si="24">F56*1000</f>
        <v>139664.39435388436</v>
      </c>
      <c r="E56" s="102">
        <f t="shared" si="24"/>
        <v>120283.34032399778</v>
      </c>
      <c r="F56" s="24">
        <f>'[6]TS BYDem'!$J10</f>
        <v>139.66439435388435</v>
      </c>
      <c r="G56" s="87">
        <f>'[6]TS BYDem'!$O10</f>
        <v>120.28334032399778</v>
      </c>
      <c r="J56" s="86"/>
      <c r="K56" s="177" t="s">
        <v>513</v>
      </c>
      <c r="L56" s="91"/>
      <c r="M56" s="91" t="s">
        <v>443</v>
      </c>
      <c r="N56" s="91"/>
      <c r="O56" s="91"/>
    </row>
    <row r="57" spans="1:48">
      <c r="A57" s="185" t="s">
        <v>16</v>
      </c>
      <c r="B57" s="89" t="s">
        <v>262</v>
      </c>
      <c r="C57" s="89" t="s">
        <v>113</v>
      </c>
      <c r="D57" s="102">
        <f t="shared" si="24"/>
        <v>7851.7549075018987</v>
      </c>
      <c r="E57" s="102">
        <f t="shared" si="24"/>
        <v>11470.981711368382</v>
      </c>
      <c r="F57" s="24">
        <f>'[6]TS BYDem'!$J11</f>
        <v>7.8517549075018991</v>
      </c>
      <c r="G57" s="87">
        <f>'[6]TS BYDem'!$O11</f>
        <v>11.470981711368381</v>
      </c>
      <c r="J57" s="86"/>
      <c r="K57" s="177" t="s">
        <v>517</v>
      </c>
      <c r="L57" s="91">
        <f>DriversGams!$B$163</f>
        <v>-1</v>
      </c>
      <c r="M57" s="91"/>
      <c r="N57" s="91"/>
      <c r="O57" s="91"/>
      <c r="R57" s="87" t="s">
        <v>634</v>
      </c>
    </row>
    <row r="58" spans="1:48">
      <c r="A58" s="185" t="s">
        <v>16</v>
      </c>
      <c r="B58" s="89" t="s">
        <v>263</v>
      </c>
      <c r="C58" s="89" t="s">
        <v>107</v>
      </c>
      <c r="D58" s="102">
        <f t="shared" si="24"/>
        <v>9894.4997565297635</v>
      </c>
      <c r="E58" s="102">
        <f t="shared" si="24"/>
        <v>8579.7067698540795</v>
      </c>
      <c r="F58" s="24">
        <f>'[6]TS BYDem'!$J12</f>
        <v>9.894499756529763</v>
      </c>
      <c r="G58" s="87">
        <f>'[6]TS BYDem'!$O12</f>
        <v>8.579706769854079</v>
      </c>
      <c r="J58" s="86"/>
      <c r="K58" s="177" t="s">
        <v>514</v>
      </c>
      <c r="L58" s="91"/>
      <c r="M58" s="91"/>
      <c r="N58" s="91"/>
      <c r="O58" s="91"/>
    </row>
    <row r="59" spans="1:48">
      <c r="A59" s="185" t="s">
        <v>16</v>
      </c>
      <c r="B59" s="89" t="s">
        <v>73</v>
      </c>
      <c r="C59" s="89" t="s">
        <v>111</v>
      </c>
      <c r="D59" s="102">
        <f t="shared" si="24"/>
        <v>121540.2719056889</v>
      </c>
      <c r="E59" s="102">
        <f t="shared" si="24"/>
        <v>104674.27977141128</v>
      </c>
      <c r="F59" s="24">
        <f>'[6]TS BYDem'!$J13</f>
        <v>121.5402719056889</v>
      </c>
      <c r="G59" s="87">
        <f>'[6]TS BYDem'!$O13</f>
        <v>104.67427977141128</v>
      </c>
      <c r="J59" s="86"/>
      <c r="K59" s="91">
        <v>-1</v>
      </c>
      <c r="L59" s="177" t="s">
        <v>515</v>
      </c>
      <c r="M59" s="91"/>
      <c r="N59" s="91"/>
      <c r="O59" s="91"/>
      <c r="AC59" s="87" t="s">
        <v>635</v>
      </c>
    </row>
    <row r="60" spans="1:48">
      <c r="A60" s="185" t="s">
        <v>16</v>
      </c>
      <c r="B60" s="89" t="s">
        <v>264</v>
      </c>
      <c r="C60" s="89" t="s">
        <v>124</v>
      </c>
      <c r="D60" s="102">
        <f t="shared" si="24"/>
        <v>29566.39037374705</v>
      </c>
      <c r="E60" s="102">
        <f t="shared" si="24"/>
        <v>25463.499211305458</v>
      </c>
      <c r="F60" s="24">
        <f>'[6]TS BYDem'!$J14</f>
        <v>29.566390373747051</v>
      </c>
      <c r="G60" s="87">
        <f>'[6]TS BYDem'!$O14</f>
        <v>25.463499211305457</v>
      </c>
      <c r="J60" s="86"/>
      <c r="K60" s="91">
        <v>1</v>
      </c>
      <c r="L60" s="91" t="s">
        <v>636</v>
      </c>
      <c r="M60" s="178">
        <v>-0.37</v>
      </c>
      <c r="N60" s="178">
        <v>-0.5</v>
      </c>
      <c r="O60" s="178">
        <v>-0.2</v>
      </c>
      <c r="Q60" s="87" t="s">
        <v>637</v>
      </c>
      <c r="AA60" s="89" t="s">
        <v>638</v>
      </c>
      <c r="AB60" s="89">
        <f>AB30/(AB30+AB31)</f>
        <v>0.77449608280841165</v>
      </c>
      <c r="AC60" s="89" t="s">
        <v>639</v>
      </c>
      <c r="AD60" s="89"/>
      <c r="AE60" s="89"/>
      <c r="AF60" s="89"/>
      <c r="AG60" s="89">
        <f>(AB30*0.8+AB31*0.46)/(AB30+AB31)</f>
        <v>0.72332866815485997</v>
      </c>
    </row>
    <row r="61" spans="1:48">
      <c r="A61" s="185" t="s">
        <v>16</v>
      </c>
      <c r="B61" s="89" t="s">
        <v>265</v>
      </c>
      <c r="C61" s="89" t="s">
        <v>266</v>
      </c>
      <c r="D61" s="102">
        <f t="shared" si="24"/>
        <v>9683.1090230750324</v>
      </c>
      <c r="E61" s="102">
        <f t="shared" si="24"/>
        <v>13273.861719969342</v>
      </c>
      <c r="F61" s="24">
        <f>'[6]TS BYDem'!$J15</f>
        <v>9.6831090230750316</v>
      </c>
      <c r="G61" s="87">
        <f>'[6]TS BYDem'!$O15</f>
        <v>13.273861719969341</v>
      </c>
      <c r="J61" s="86"/>
      <c r="K61" s="91">
        <v>2</v>
      </c>
      <c r="L61" s="91" t="s">
        <v>640</v>
      </c>
      <c r="M61" s="178">
        <v>-0.25</v>
      </c>
      <c r="N61" s="178">
        <v>-0.25</v>
      </c>
      <c r="O61" s="178">
        <v>-0.2</v>
      </c>
      <c r="Q61" s="87" t="s">
        <v>641</v>
      </c>
    </row>
    <row r="62" spans="1:48">
      <c r="A62" s="185" t="s">
        <v>16</v>
      </c>
      <c r="B62" s="89" t="s">
        <v>269</v>
      </c>
      <c r="C62" s="89" t="s">
        <v>270</v>
      </c>
      <c r="D62" s="102">
        <f t="shared" si="24"/>
        <v>10300.552873773209</v>
      </c>
      <c r="E62" s="102">
        <f t="shared" si="24"/>
        <v>8871.1579824850141</v>
      </c>
      <c r="F62" s="24">
        <f>'[6]TS BYDem'!$J16</f>
        <v>10.30055287377321</v>
      </c>
      <c r="G62" s="87">
        <f>'[6]TS BYDem'!$O16</f>
        <v>8.8711579824850144</v>
      </c>
      <c r="J62" s="86"/>
      <c r="K62" s="91">
        <v>3</v>
      </c>
      <c r="L62" s="177" t="s">
        <v>516</v>
      </c>
      <c r="M62" s="178">
        <v>-0.37</v>
      </c>
      <c r="N62" s="178">
        <v>-0.5</v>
      </c>
      <c r="O62" s="178">
        <v>-0.2</v>
      </c>
    </row>
    <row r="63" spans="1:48">
      <c r="A63" s="185" t="s">
        <v>16</v>
      </c>
      <c r="B63" s="89" t="s">
        <v>268</v>
      </c>
      <c r="C63" s="89" t="s">
        <v>221</v>
      </c>
      <c r="D63" s="102">
        <f t="shared" si="24"/>
        <v>3559.3512487513526</v>
      </c>
      <c r="E63" s="102">
        <f t="shared" si="24"/>
        <v>3065.4245097100388</v>
      </c>
      <c r="F63" s="24">
        <f>'[6]TS BYDem'!$J17</f>
        <v>3.5593512487513528</v>
      </c>
      <c r="G63" s="87">
        <f>'[6]TS BYDem'!$O17</f>
        <v>3.0654245097100388</v>
      </c>
      <c r="J63" s="86"/>
      <c r="K63" s="91">
        <v>4</v>
      </c>
      <c r="L63" s="177" t="s">
        <v>642</v>
      </c>
      <c r="M63" s="178">
        <v>-0.25</v>
      </c>
      <c r="N63" s="91"/>
      <c r="O63" s="91"/>
    </row>
    <row r="64" spans="1:48">
      <c r="A64" s="185" t="s">
        <v>16</v>
      </c>
      <c r="B64" s="89" t="s">
        <v>0</v>
      </c>
      <c r="C64" s="89" t="s">
        <v>119</v>
      </c>
      <c r="D64" s="102">
        <f t="shared" si="24"/>
        <v>18760.184357078931</v>
      </c>
      <c r="E64" s="102">
        <f t="shared" si="24"/>
        <v>16999.241745794043</v>
      </c>
      <c r="F64" s="24">
        <f>'[6]TS BYDem'!$J18</f>
        <v>18.760184357078931</v>
      </c>
      <c r="G64" s="87">
        <f>'[6]TS BYDem'!$O18</f>
        <v>16.999241745794041</v>
      </c>
      <c r="J64" s="86"/>
      <c r="K64" s="177">
        <v>4</v>
      </c>
      <c r="L64" s="177" t="s">
        <v>643</v>
      </c>
      <c r="M64" s="91"/>
      <c r="N64" s="178">
        <v>-0.25</v>
      </c>
      <c r="O64" s="178">
        <v>-0.2</v>
      </c>
    </row>
    <row r="65" spans="1:48">
      <c r="A65" s="185" t="s">
        <v>16</v>
      </c>
      <c r="B65" s="89"/>
      <c r="C65" s="89"/>
      <c r="D65" s="89"/>
      <c r="J65" s="86"/>
      <c r="K65" s="270">
        <v>3</v>
      </c>
      <c r="L65" s="91" t="s">
        <v>636</v>
      </c>
      <c r="M65" s="178">
        <v>-0.37</v>
      </c>
      <c r="N65" s="178">
        <v>-0.5</v>
      </c>
      <c r="O65" s="178">
        <v>-0.2</v>
      </c>
    </row>
    <row r="66" spans="1:48">
      <c r="A66" s="185" t="s">
        <v>16</v>
      </c>
      <c r="B66" s="89"/>
      <c r="F66" s="221"/>
      <c r="I66" s="151"/>
      <c r="K66" s="270">
        <v>2</v>
      </c>
      <c r="L66" s="91" t="s">
        <v>640</v>
      </c>
      <c r="M66" s="178">
        <v>-0.25</v>
      </c>
      <c r="N66" s="178">
        <v>-0.25</v>
      </c>
      <c r="O66" s="178">
        <v>-0.2</v>
      </c>
    </row>
    <row r="67" spans="1:48" ht="15.75" thickBot="1">
      <c r="A67" s="185" t="s">
        <v>16</v>
      </c>
      <c r="B67" s="148" t="s">
        <v>12</v>
      </c>
      <c r="C67" s="149"/>
      <c r="D67" s="85"/>
      <c r="E67" s="97">
        <v>2012</v>
      </c>
      <c r="F67" s="222">
        <v>2017</v>
      </c>
      <c r="G67" s="97">
        <f>G22</f>
        <v>2020</v>
      </c>
      <c r="H67" s="97">
        <f>H22</f>
        <v>2030</v>
      </c>
      <c r="I67" s="172">
        <f>I22</f>
        <v>2050</v>
      </c>
      <c r="J67" s="97">
        <f t="shared" ref="J67:AV67" si="25">J4</f>
        <v>2012</v>
      </c>
      <c r="K67" s="97">
        <f t="shared" si="25"/>
        <v>2013</v>
      </c>
      <c r="L67" s="97">
        <f t="shared" si="25"/>
        <v>2014</v>
      </c>
      <c r="M67" s="97">
        <f t="shared" si="25"/>
        <v>2015</v>
      </c>
      <c r="N67" s="97">
        <f t="shared" si="25"/>
        <v>2016</v>
      </c>
      <c r="O67" s="97">
        <f t="shared" si="25"/>
        <v>2017</v>
      </c>
      <c r="P67" s="97">
        <f t="shared" si="25"/>
        <v>2018</v>
      </c>
      <c r="Q67" s="97">
        <f t="shared" si="25"/>
        <v>2019</v>
      </c>
      <c r="R67" s="97">
        <f t="shared" si="25"/>
        <v>2020</v>
      </c>
      <c r="S67" s="97">
        <f t="shared" si="25"/>
        <v>2021</v>
      </c>
      <c r="T67" s="97">
        <f t="shared" si="25"/>
        <v>2022</v>
      </c>
      <c r="U67" s="97">
        <f t="shared" si="25"/>
        <v>2023</v>
      </c>
      <c r="V67" s="97">
        <f t="shared" si="25"/>
        <v>2024</v>
      </c>
      <c r="W67" s="97">
        <f t="shared" si="25"/>
        <v>2025</v>
      </c>
      <c r="X67" s="97">
        <f t="shared" si="25"/>
        <v>2026</v>
      </c>
      <c r="Y67" s="97">
        <f t="shared" si="25"/>
        <v>2027</v>
      </c>
      <c r="Z67" s="97">
        <f t="shared" si="25"/>
        <v>2028</v>
      </c>
      <c r="AA67" s="97">
        <f t="shared" si="25"/>
        <v>2029</v>
      </c>
      <c r="AB67" s="97">
        <f t="shared" si="25"/>
        <v>2030</v>
      </c>
      <c r="AC67" s="97">
        <f t="shared" si="25"/>
        <v>2031</v>
      </c>
      <c r="AD67" s="97">
        <f t="shared" si="25"/>
        <v>2032</v>
      </c>
      <c r="AE67" s="97">
        <f t="shared" si="25"/>
        <v>2033</v>
      </c>
      <c r="AF67" s="97">
        <f t="shared" si="25"/>
        <v>2034</v>
      </c>
      <c r="AG67" s="97">
        <f t="shared" si="25"/>
        <v>2035</v>
      </c>
      <c r="AH67" s="97">
        <f t="shared" si="25"/>
        <v>2036</v>
      </c>
      <c r="AI67" s="97">
        <f t="shared" si="25"/>
        <v>2037</v>
      </c>
      <c r="AJ67" s="97">
        <f t="shared" si="25"/>
        <v>2038</v>
      </c>
      <c r="AK67" s="97">
        <f t="shared" si="25"/>
        <v>2039</v>
      </c>
      <c r="AL67" s="97">
        <f t="shared" si="25"/>
        <v>2040</v>
      </c>
      <c r="AM67" s="97">
        <f t="shared" si="25"/>
        <v>2041</v>
      </c>
      <c r="AN67" s="97">
        <f t="shared" si="25"/>
        <v>2042</v>
      </c>
      <c r="AO67" s="97">
        <f t="shared" si="25"/>
        <v>2043</v>
      </c>
      <c r="AP67" s="97">
        <f t="shared" si="25"/>
        <v>2044</v>
      </c>
      <c r="AQ67" s="97">
        <f t="shared" si="25"/>
        <v>2045</v>
      </c>
      <c r="AR67" s="97">
        <f t="shared" si="25"/>
        <v>2046</v>
      </c>
      <c r="AS67" s="97">
        <f t="shared" si="25"/>
        <v>2047</v>
      </c>
      <c r="AT67" s="97">
        <f t="shared" si="25"/>
        <v>2048</v>
      </c>
      <c r="AU67" s="97">
        <f t="shared" si="25"/>
        <v>2049</v>
      </c>
      <c r="AV67" s="97">
        <f t="shared" si="25"/>
        <v>2050</v>
      </c>
    </row>
    <row r="68" spans="1:48">
      <c r="A68" s="185" t="s">
        <v>16</v>
      </c>
      <c r="I68" s="151"/>
      <c r="K68" s="87"/>
    </row>
    <row r="69" spans="1:48" ht="15.75" thickBot="1">
      <c r="A69" s="185" t="s">
        <v>16</v>
      </c>
      <c r="B69" s="103" t="s">
        <v>74</v>
      </c>
      <c r="C69" s="85"/>
      <c r="D69" s="85"/>
      <c r="H69" s="199">
        <f>VLOOKUP($L$57,$K$59:$O$66,3)</f>
        <v>0</v>
      </c>
      <c r="I69" s="151"/>
      <c r="K69" s="87"/>
    </row>
    <row r="70" spans="1:48">
      <c r="A70" s="185" t="s">
        <v>16</v>
      </c>
      <c r="B70" s="264" t="s">
        <v>239</v>
      </c>
      <c r="C70" s="87" t="str">
        <f t="shared" ref="C70:C78" si="26">"Commercial"&amp;" - "&amp;B56</f>
        <v>Commercial - Cooling</v>
      </c>
      <c r="D70" s="87" t="s">
        <v>75</v>
      </c>
      <c r="E70" s="96">
        <f>$D56/J$23</f>
        <v>1051.567060091292</v>
      </c>
      <c r="F70" s="104">
        <f>E56/$O$23</f>
        <v>864.77958996918915</v>
      </c>
      <c r="G70" s="104">
        <f t="shared" ref="G70:I78" si="27">F70</f>
        <v>864.77958996918915</v>
      </c>
      <c r="H70" s="104">
        <f>G70*(1+$H$69)</f>
        <v>864.77958996918915</v>
      </c>
      <c r="I70" s="150">
        <f t="shared" si="27"/>
        <v>864.77958996918915</v>
      </c>
      <c r="J70" s="8">
        <f>IF(J$8=-1,K70,IF(J$8=99,I70,IF(J$8=0,INDEX($E70:$I70,0,J$6),(INDEX($E70:$I70,0,J$8+1)-INDEX($E70:$I70,0,J$8))/(INDEX($D$5:$H$5,0,J$8+1)-INDEX($D$5:$H$5,0,J$8))+I70)))</f>
        <v>1051.567060091292</v>
      </c>
      <c r="K70" s="8">
        <f>IF(K$8=-1,L70,IF(K$8=99,J70,IF(K$8=0,INDEX($E70:$I70,0,K$6),(INDEX($E70:$I70,0,K$8+1)-INDEX($E70:$I70,0,K$8))/(INDEX($D$5:$H$5,0,K$8+1)-INDEX($D$5:$H$5,0,K$8))+J70)))</f>
        <v>1014.2095660668714</v>
      </c>
      <c r="L70" s="8">
        <f t="shared" ref="L70:AV78" si="28">IF(L$8=-1,M70,IF(L$8=99,K70,IF(L$8=0,INDEX($E70:$I70,0,L$6),(INDEX($E70:$I70,0,L$8+1)-INDEX($E70:$I70,0,L$8))/(INDEX($D$5:$H$5,0,L$8+1)-INDEX($D$5:$H$5,0,L$8))+K70)))</f>
        <v>976.8520720424508</v>
      </c>
      <c r="M70" s="8">
        <f t="shared" si="28"/>
        <v>939.49457801803021</v>
      </c>
      <c r="N70" s="8">
        <f t="shared" si="28"/>
        <v>902.13708399360962</v>
      </c>
      <c r="O70" s="8">
        <f t="shared" si="28"/>
        <v>864.77958996918915</v>
      </c>
      <c r="P70" s="8">
        <f t="shared" si="28"/>
        <v>864.77958996918915</v>
      </c>
      <c r="Q70" s="8">
        <f t="shared" si="28"/>
        <v>864.77958996918915</v>
      </c>
      <c r="R70" s="8">
        <f t="shared" si="28"/>
        <v>864.77958996918915</v>
      </c>
      <c r="S70" s="8">
        <f t="shared" si="28"/>
        <v>864.77958996918915</v>
      </c>
      <c r="T70" s="8">
        <f t="shared" si="28"/>
        <v>864.77958996918915</v>
      </c>
      <c r="U70" s="8">
        <f t="shared" si="28"/>
        <v>864.77958996918915</v>
      </c>
      <c r="V70" s="8">
        <f t="shared" si="28"/>
        <v>864.77958996918915</v>
      </c>
      <c r="W70" s="8">
        <f t="shared" si="28"/>
        <v>864.77958996918915</v>
      </c>
      <c r="X70" s="8">
        <f t="shared" si="28"/>
        <v>864.77958996918915</v>
      </c>
      <c r="Y70" s="8">
        <f t="shared" si="28"/>
        <v>864.77958996918915</v>
      </c>
      <c r="Z70" s="8">
        <f t="shared" si="28"/>
        <v>864.77958996918915</v>
      </c>
      <c r="AA70" s="8">
        <f t="shared" si="28"/>
        <v>864.77958996918915</v>
      </c>
      <c r="AB70" s="8">
        <f t="shared" si="28"/>
        <v>864.77958996918915</v>
      </c>
      <c r="AC70" s="8">
        <f t="shared" si="28"/>
        <v>864.77958996918915</v>
      </c>
      <c r="AD70" s="8">
        <f t="shared" si="28"/>
        <v>864.77958996918915</v>
      </c>
      <c r="AE70" s="8">
        <f t="shared" si="28"/>
        <v>864.77958996918915</v>
      </c>
      <c r="AF70" s="8">
        <f t="shared" si="28"/>
        <v>864.77958996918915</v>
      </c>
      <c r="AG70" s="8">
        <f t="shared" si="28"/>
        <v>864.77958996918915</v>
      </c>
      <c r="AH70" s="8">
        <f t="shared" si="28"/>
        <v>864.77958996918915</v>
      </c>
      <c r="AI70" s="8">
        <f t="shared" si="28"/>
        <v>864.77958996918915</v>
      </c>
      <c r="AJ70" s="8">
        <f t="shared" si="28"/>
        <v>864.77958996918915</v>
      </c>
      <c r="AK70" s="8">
        <f t="shared" si="28"/>
        <v>864.77958996918915</v>
      </c>
      <c r="AL70" s="8">
        <f t="shared" si="28"/>
        <v>864.77958996918915</v>
      </c>
      <c r="AM70" s="8">
        <f t="shared" si="28"/>
        <v>864.77958996918915</v>
      </c>
      <c r="AN70" s="8">
        <f t="shared" si="28"/>
        <v>864.77958996918915</v>
      </c>
      <c r="AO70" s="8">
        <f t="shared" si="28"/>
        <v>864.77958996918915</v>
      </c>
      <c r="AP70" s="8">
        <f t="shared" si="28"/>
        <v>864.77958996918915</v>
      </c>
      <c r="AQ70" s="8">
        <f t="shared" si="28"/>
        <v>864.77958996918915</v>
      </c>
      <c r="AR70" s="8">
        <f t="shared" si="28"/>
        <v>864.77958996918915</v>
      </c>
      <c r="AS70" s="8">
        <f t="shared" si="28"/>
        <v>864.77958996918915</v>
      </c>
      <c r="AT70" s="8">
        <f t="shared" si="28"/>
        <v>864.77958996918915</v>
      </c>
      <c r="AU70" s="8">
        <f t="shared" si="28"/>
        <v>864.77958996918915</v>
      </c>
      <c r="AV70" s="8">
        <f t="shared" si="28"/>
        <v>864.77958996918915</v>
      </c>
    </row>
    <row r="71" spans="1:48">
      <c r="A71" s="185" t="s">
        <v>16</v>
      </c>
      <c r="B71" s="264" t="s">
        <v>240</v>
      </c>
      <c r="C71" s="87" t="str">
        <f t="shared" si="26"/>
        <v>Commercial - Space Heating</v>
      </c>
      <c r="D71" s="87" t="s">
        <v>75</v>
      </c>
      <c r="E71" s="96">
        <f t="shared" ref="E71:E75" si="29">$D57/J$23</f>
        <v>59.117764859369188</v>
      </c>
      <c r="F71" s="104">
        <f t="shared" ref="F71:F78" si="30">E57/$O$23</f>
        <v>82.470862832548889</v>
      </c>
      <c r="G71" s="104">
        <f t="shared" si="27"/>
        <v>82.470862832548889</v>
      </c>
      <c r="H71" s="104">
        <f t="shared" ref="H71:H78" si="31">G71*(1+$H$69)</f>
        <v>82.470862832548889</v>
      </c>
      <c r="I71" s="150">
        <f t="shared" si="27"/>
        <v>82.470862832548889</v>
      </c>
      <c r="J71" s="8">
        <f t="shared" ref="J71:Y78" si="32">IF(J$8=-1,K71,IF(J$8=99,I71,IF(J$8=0,INDEX($E71:$I71,0,J$6),(INDEX($E71:$I71,0,J$8+1)-INDEX($E71:$I71,0,J$8))/(INDEX($D$5:$H$5,0,J$8+1)-INDEX($D$5:$H$5,0,J$8))+I71)))</f>
        <v>59.117764859369188</v>
      </c>
      <c r="K71" s="8">
        <f t="shared" si="32"/>
        <v>63.788384454005126</v>
      </c>
      <c r="L71" s="8">
        <f t="shared" si="32"/>
        <v>68.459004048641063</v>
      </c>
      <c r="M71" s="8">
        <f t="shared" si="32"/>
        <v>73.129623643277</v>
      </c>
      <c r="N71" s="8">
        <f t="shared" si="32"/>
        <v>77.800243237912937</v>
      </c>
      <c r="O71" s="8">
        <f t="shared" si="32"/>
        <v>82.470862832548889</v>
      </c>
      <c r="P71" s="8">
        <f t="shared" si="32"/>
        <v>82.470862832548889</v>
      </c>
      <c r="Q71" s="8">
        <f t="shared" si="32"/>
        <v>82.470862832548889</v>
      </c>
      <c r="R71" s="8">
        <f t="shared" si="32"/>
        <v>82.470862832548889</v>
      </c>
      <c r="S71" s="8">
        <f t="shared" si="32"/>
        <v>82.470862832548889</v>
      </c>
      <c r="T71" s="8">
        <f t="shared" si="32"/>
        <v>82.470862832548889</v>
      </c>
      <c r="U71" s="8">
        <f t="shared" si="32"/>
        <v>82.470862832548889</v>
      </c>
      <c r="V71" s="8">
        <f t="shared" si="32"/>
        <v>82.470862832548889</v>
      </c>
      <c r="W71" s="8">
        <f t="shared" si="32"/>
        <v>82.470862832548889</v>
      </c>
      <c r="X71" s="8">
        <f t="shared" si="32"/>
        <v>82.470862832548889</v>
      </c>
      <c r="Y71" s="8">
        <f t="shared" si="32"/>
        <v>82.470862832548889</v>
      </c>
      <c r="Z71" s="8">
        <f t="shared" si="28"/>
        <v>82.470862832548889</v>
      </c>
      <c r="AA71" s="8">
        <f t="shared" si="28"/>
        <v>82.470862832548889</v>
      </c>
      <c r="AB71" s="8">
        <f t="shared" si="28"/>
        <v>82.470862832548889</v>
      </c>
      <c r="AC71" s="8">
        <f t="shared" si="28"/>
        <v>82.470862832548889</v>
      </c>
      <c r="AD71" s="8">
        <f t="shared" si="28"/>
        <v>82.470862832548889</v>
      </c>
      <c r="AE71" s="8">
        <f t="shared" si="28"/>
        <v>82.470862832548889</v>
      </c>
      <c r="AF71" s="8">
        <f t="shared" si="28"/>
        <v>82.470862832548889</v>
      </c>
      <c r="AG71" s="8">
        <f t="shared" si="28"/>
        <v>82.470862832548889</v>
      </c>
      <c r="AH71" s="8">
        <f t="shared" si="28"/>
        <v>82.470862832548889</v>
      </c>
      <c r="AI71" s="8">
        <f t="shared" si="28"/>
        <v>82.470862832548889</v>
      </c>
      <c r="AJ71" s="8">
        <f t="shared" si="28"/>
        <v>82.470862832548889</v>
      </c>
      <c r="AK71" s="8">
        <f t="shared" si="28"/>
        <v>82.470862832548889</v>
      </c>
      <c r="AL71" s="8">
        <f t="shared" si="28"/>
        <v>82.470862832548889</v>
      </c>
      <c r="AM71" s="8">
        <f t="shared" si="28"/>
        <v>82.470862832548889</v>
      </c>
      <c r="AN71" s="8">
        <f t="shared" si="28"/>
        <v>82.470862832548889</v>
      </c>
      <c r="AO71" s="8">
        <f t="shared" si="28"/>
        <v>82.470862832548889</v>
      </c>
      <c r="AP71" s="8">
        <f t="shared" si="28"/>
        <v>82.470862832548889</v>
      </c>
      <c r="AQ71" s="8">
        <f t="shared" si="28"/>
        <v>82.470862832548889</v>
      </c>
      <c r="AR71" s="8">
        <f t="shared" si="28"/>
        <v>82.470862832548889</v>
      </c>
      <c r="AS71" s="8">
        <f t="shared" si="28"/>
        <v>82.470862832548889</v>
      </c>
      <c r="AT71" s="8">
        <f t="shared" si="28"/>
        <v>82.470862832548889</v>
      </c>
      <c r="AU71" s="8">
        <f t="shared" si="28"/>
        <v>82.470862832548889</v>
      </c>
      <c r="AV71" s="8">
        <f t="shared" si="28"/>
        <v>82.470862832548889</v>
      </c>
    </row>
    <row r="72" spans="1:48">
      <c r="A72" s="185" t="s">
        <v>16</v>
      </c>
      <c r="B72" s="264" t="s">
        <v>241</v>
      </c>
      <c r="C72" s="87" t="str">
        <f t="shared" si="26"/>
        <v>Commercial - Cooking</v>
      </c>
      <c r="D72" s="87" t="s">
        <v>75</v>
      </c>
      <c r="E72" s="96">
        <f t="shared" si="29"/>
        <v>74.498085701673531</v>
      </c>
      <c r="F72" s="104">
        <f t="shared" si="30"/>
        <v>61.683981193944355</v>
      </c>
      <c r="G72" s="104">
        <f t="shared" si="27"/>
        <v>61.683981193944355</v>
      </c>
      <c r="H72" s="104">
        <f t="shared" si="31"/>
        <v>61.683981193944355</v>
      </c>
      <c r="I72" s="150">
        <f t="shared" si="27"/>
        <v>61.683981193944355</v>
      </c>
      <c r="J72" s="8">
        <f t="shared" si="32"/>
        <v>74.498085701673531</v>
      </c>
      <c r="K72" s="8">
        <f t="shared" si="32"/>
        <v>71.935264800127698</v>
      </c>
      <c r="L72" s="8">
        <f t="shared" si="32"/>
        <v>69.372443898581864</v>
      </c>
      <c r="M72" s="8">
        <f t="shared" si="32"/>
        <v>66.80962299703603</v>
      </c>
      <c r="N72" s="8">
        <f t="shared" si="32"/>
        <v>64.246802095490196</v>
      </c>
      <c r="O72" s="8">
        <f t="shared" si="32"/>
        <v>61.683981193944355</v>
      </c>
      <c r="P72" s="8">
        <f t="shared" si="32"/>
        <v>61.683981193944355</v>
      </c>
      <c r="Q72" s="8">
        <f t="shared" si="32"/>
        <v>61.683981193944355</v>
      </c>
      <c r="R72" s="8">
        <f t="shared" si="32"/>
        <v>61.683981193944355</v>
      </c>
      <c r="S72" s="8">
        <f t="shared" si="32"/>
        <v>61.683981193944355</v>
      </c>
      <c r="T72" s="8">
        <f t="shared" si="32"/>
        <v>61.683981193944355</v>
      </c>
      <c r="U72" s="8">
        <f t="shared" si="32"/>
        <v>61.683981193944355</v>
      </c>
      <c r="V72" s="8">
        <f t="shared" si="32"/>
        <v>61.683981193944355</v>
      </c>
      <c r="W72" s="8">
        <f t="shared" si="32"/>
        <v>61.683981193944355</v>
      </c>
      <c r="X72" s="8">
        <f t="shared" si="32"/>
        <v>61.683981193944355</v>
      </c>
      <c r="Y72" s="8">
        <f t="shared" si="32"/>
        <v>61.683981193944355</v>
      </c>
      <c r="Z72" s="8">
        <f t="shared" si="28"/>
        <v>61.683981193944355</v>
      </c>
      <c r="AA72" s="8">
        <f t="shared" si="28"/>
        <v>61.683981193944355</v>
      </c>
      <c r="AB72" s="8">
        <f t="shared" si="28"/>
        <v>61.683981193944355</v>
      </c>
      <c r="AC72" s="8">
        <f t="shared" si="28"/>
        <v>61.683981193944355</v>
      </c>
      <c r="AD72" s="8">
        <f t="shared" si="28"/>
        <v>61.683981193944355</v>
      </c>
      <c r="AE72" s="8">
        <f t="shared" si="28"/>
        <v>61.683981193944355</v>
      </c>
      <c r="AF72" s="8">
        <f t="shared" si="28"/>
        <v>61.683981193944355</v>
      </c>
      <c r="AG72" s="8">
        <f t="shared" si="28"/>
        <v>61.683981193944355</v>
      </c>
      <c r="AH72" s="8">
        <f t="shared" si="28"/>
        <v>61.683981193944355</v>
      </c>
      <c r="AI72" s="8">
        <f t="shared" si="28"/>
        <v>61.683981193944355</v>
      </c>
      <c r="AJ72" s="8">
        <f t="shared" si="28"/>
        <v>61.683981193944355</v>
      </c>
      <c r="AK72" s="8">
        <f t="shared" si="28"/>
        <v>61.683981193944355</v>
      </c>
      <c r="AL72" s="8">
        <f t="shared" si="28"/>
        <v>61.683981193944355</v>
      </c>
      <c r="AM72" s="8">
        <f t="shared" si="28"/>
        <v>61.683981193944355</v>
      </c>
      <c r="AN72" s="8">
        <f t="shared" si="28"/>
        <v>61.683981193944355</v>
      </c>
      <c r="AO72" s="8">
        <f t="shared" si="28"/>
        <v>61.683981193944355</v>
      </c>
      <c r="AP72" s="8">
        <f t="shared" si="28"/>
        <v>61.683981193944355</v>
      </c>
      <c r="AQ72" s="8">
        <f t="shared" si="28"/>
        <v>61.683981193944355</v>
      </c>
      <c r="AR72" s="8">
        <f t="shared" si="28"/>
        <v>61.683981193944355</v>
      </c>
      <c r="AS72" s="8">
        <f t="shared" si="28"/>
        <v>61.683981193944355</v>
      </c>
      <c r="AT72" s="8">
        <f t="shared" si="28"/>
        <v>61.683981193944355</v>
      </c>
      <c r="AU72" s="8">
        <f t="shared" si="28"/>
        <v>61.683981193944355</v>
      </c>
      <c r="AV72" s="8">
        <f t="shared" si="28"/>
        <v>61.683981193944355</v>
      </c>
    </row>
    <row r="73" spans="1:48">
      <c r="A73" s="185" t="s">
        <v>16</v>
      </c>
      <c r="B73" s="264" t="s">
        <v>242</v>
      </c>
      <c r="C73" s="87" t="str">
        <f t="shared" si="26"/>
        <v>Commercial - Lighting</v>
      </c>
      <c r="D73" s="87" t="s">
        <v>75</v>
      </c>
      <c r="E73" s="96">
        <f t="shared" si="29"/>
        <v>915.10615144128838</v>
      </c>
      <c r="F73" s="104">
        <f t="shared" si="30"/>
        <v>752.55792279474565</v>
      </c>
      <c r="G73" s="104">
        <f t="shared" si="27"/>
        <v>752.55792279474565</v>
      </c>
      <c r="H73" s="104">
        <f t="shared" si="31"/>
        <v>752.55792279474565</v>
      </c>
      <c r="I73" s="150">
        <f t="shared" si="27"/>
        <v>752.55792279474565</v>
      </c>
      <c r="J73" s="8">
        <f t="shared" si="32"/>
        <v>915.10615144128838</v>
      </c>
      <c r="K73" s="8">
        <f t="shared" si="32"/>
        <v>882.59650571197983</v>
      </c>
      <c r="L73" s="8">
        <f t="shared" si="32"/>
        <v>850.08685998267129</v>
      </c>
      <c r="M73" s="8">
        <f t="shared" si="32"/>
        <v>817.57721425336274</v>
      </c>
      <c r="N73" s="8">
        <f t="shared" si="32"/>
        <v>785.0675685240542</v>
      </c>
      <c r="O73" s="8">
        <f t="shared" si="32"/>
        <v>752.55792279474565</v>
      </c>
      <c r="P73" s="8">
        <f t="shared" si="32"/>
        <v>752.55792279474565</v>
      </c>
      <c r="Q73" s="8">
        <f t="shared" si="32"/>
        <v>752.55792279474565</v>
      </c>
      <c r="R73" s="8">
        <f t="shared" si="32"/>
        <v>752.55792279474565</v>
      </c>
      <c r="S73" s="8">
        <f t="shared" si="32"/>
        <v>752.55792279474565</v>
      </c>
      <c r="T73" s="8">
        <f t="shared" si="32"/>
        <v>752.55792279474565</v>
      </c>
      <c r="U73" s="8">
        <f t="shared" si="32"/>
        <v>752.55792279474565</v>
      </c>
      <c r="V73" s="8">
        <f t="shared" si="32"/>
        <v>752.55792279474565</v>
      </c>
      <c r="W73" s="8">
        <f t="shared" si="32"/>
        <v>752.55792279474565</v>
      </c>
      <c r="X73" s="8">
        <f t="shared" si="32"/>
        <v>752.55792279474565</v>
      </c>
      <c r="Y73" s="8">
        <f t="shared" si="32"/>
        <v>752.55792279474565</v>
      </c>
      <c r="Z73" s="8">
        <f t="shared" si="28"/>
        <v>752.55792279474565</v>
      </c>
      <c r="AA73" s="8">
        <f t="shared" si="28"/>
        <v>752.55792279474565</v>
      </c>
      <c r="AB73" s="8">
        <f t="shared" si="28"/>
        <v>752.55792279474565</v>
      </c>
      <c r="AC73" s="8">
        <f t="shared" si="28"/>
        <v>752.55792279474565</v>
      </c>
      <c r="AD73" s="8">
        <f t="shared" si="28"/>
        <v>752.55792279474565</v>
      </c>
      <c r="AE73" s="8">
        <f t="shared" si="28"/>
        <v>752.55792279474565</v>
      </c>
      <c r="AF73" s="8">
        <f t="shared" si="28"/>
        <v>752.55792279474565</v>
      </c>
      <c r="AG73" s="8">
        <f t="shared" si="28"/>
        <v>752.55792279474565</v>
      </c>
      <c r="AH73" s="8">
        <f t="shared" si="28"/>
        <v>752.55792279474565</v>
      </c>
      <c r="AI73" s="8">
        <f t="shared" si="28"/>
        <v>752.55792279474565</v>
      </c>
      <c r="AJ73" s="8">
        <f t="shared" si="28"/>
        <v>752.55792279474565</v>
      </c>
      <c r="AK73" s="8">
        <f t="shared" si="28"/>
        <v>752.55792279474565</v>
      </c>
      <c r="AL73" s="8">
        <f t="shared" si="28"/>
        <v>752.55792279474565</v>
      </c>
      <c r="AM73" s="8">
        <f t="shared" si="28"/>
        <v>752.55792279474565</v>
      </c>
      <c r="AN73" s="8">
        <f t="shared" si="28"/>
        <v>752.55792279474565</v>
      </c>
      <c r="AO73" s="8">
        <f t="shared" si="28"/>
        <v>752.55792279474565</v>
      </c>
      <c r="AP73" s="8">
        <f t="shared" si="28"/>
        <v>752.55792279474565</v>
      </c>
      <c r="AQ73" s="8">
        <f t="shared" si="28"/>
        <v>752.55792279474565</v>
      </c>
      <c r="AR73" s="8">
        <f t="shared" si="28"/>
        <v>752.55792279474565</v>
      </c>
      <c r="AS73" s="8">
        <f t="shared" si="28"/>
        <v>752.55792279474565</v>
      </c>
      <c r="AT73" s="8">
        <f t="shared" si="28"/>
        <v>752.55792279474565</v>
      </c>
      <c r="AU73" s="8">
        <f t="shared" si="28"/>
        <v>752.55792279474565</v>
      </c>
      <c r="AV73" s="8">
        <f t="shared" si="28"/>
        <v>752.55792279474565</v>
      </c>
    </row>
    <row r="74" spans="1:48">
      <c r="A74" s="185" t="s">
        <v>16</v>
      </c>
      <c r="B74" s="264" t="s">
        <v>243</v>
      </c>
      <c r="C74" s="87" t="str">
        <f t="shared" si="26"/>
        <v>Commercial - Refrigeration</v>
      </c>
      <c r="D74" s="87" t="s">
        <v>75</v>
      </c>
      <c r="E74" s="96">
        <f t="shared" si="29"/>
        <v>222.61251585750318</v>
      </c>
      <c r="F74" s="104">
        <f t="shared" si="30"/>
        <v>183.07035993362933</v>
      </c>
      <c r="G74" s="104">
        <f t="shared" si="27"/>
        <v>183.07035993362933</v>
      </c>
      <c r="H74" s="104">
        <f t="shared" si="31"/>
        <v>183.07035993362933</v>
      </c>
      <c r="I74" s="150">
        <f t="shared" si="27"/>
        <v>183.07035993362933</v>
      </c>
      <c r="J74" s="8">
        <f t="shared" si="32"/>
        <v>222.61251585750318</v>
      </c>
      <c r="K74" s="8">
        <f t="shared" si="32"/>
        <v>214.70408467272841</v>
      </c>
      <c r="L74" s="8">
        <f t="shared" si="32"/>
        <v>206.79565348795364</v>
      </c>
      <c r="M74" s="8">
        <f t="shared" si="32"/>
        <v>198.88722230317887</v>
      </c>
      <c r="N74" s="8">
        <f t="shared" si="32"/>
        <v>190.9787911184041</v>
      </c>
      <c r="O74" s="8">
        <f t="shared" si="32"/>
        <v>183.07035993362933</v>
      </c>
      <c r="P74" s="8">
        <f t="shared" si="32"/>
        <v>183.07035993362933</v>
      </c>
      <c r="Q74" s="8">
        <f t="shared" si="32"/>
        <v>183.07035993362933</v>
      </c>
      <c r="R74" s="8">
        <f t="shared" si="32"/>
        <v>183.07035993362933</v>
      </c>
      <c r="S74" s="8">
        <f t="shared" si="32"/>
        <v>183.07035993362933</v>
      </c>
      <c r="T74" s="8">
        <f t="shared" si="32"/>
        <v>183.07035993362933</v>
      </c>
      <c r="U74" s="8">
        <f t="shared" si="32"/>
        <v>183.07035993362933</v>
      </c>
      <c r="V74" s="8">
        <f t="shared" si="32"/>
        <v>183.07035993362933</v>
      </c>
      <c r="W74" s="8">
        <f t="shared" si="32"/>
        <v>183.07035993362933</v>
      </c>
      <c r="X74" s="8">
        <f t="shared" si="32"/>
        <v>183.07035993362933</v>
      </c>
      <c r="Y74" s="8">
        <f t="shared" si="32"/>
        <v>183.07035993362933</v>
      </c>
      <c r="Z74" s="8">
        <f t="shared" si="28"/>
        <v>183.07035993362933</v>
      </c>
      <c r="AA74" s="8">
        <f t="shared" si="28"/>
        <v>183.07035993362933</v>
      </c>
      <c r="AB74" s="8">
        <f t="shared" si="28"/>
        <v>183.07035993362933</v>
      </c>
      <c r="AC74" s="8">
        <f t="shared" si="28"/>
        <v>183.07035993362933</v>
      </c>
      <c r="AD74" s="8">
        <f t="shared" si="28"/>
        <v>183.07035993362933</v>
      </c>
      <c r="AE74" s="8">
        <f t="shared" si="28"/>
        <v>183.07035993362933</v>
      </c>
      <c r="AF74" s="8">
        <f t="shared" si="28"/>
        <v>183.07035993362933</v>
      </c>
      <c r="AG74" s="8">
        <f t="shared" si="28"/>
        <v>183.07035993362933</v>
      </c>
      <c r="AH74" s="8">
        <f t="shared" si="28"/>
        <v>183.07035993362933</v>
      </c>
      <c r="AI74" s="8">
        <f t="shared" si="28"/>
        <v>183.07035993362933</v>
      </c>
      <c r="AJ74" s="8">
        <f t="shared" si="28"/>
        <v>183.07035993362933</v>
      </c>
      <c r="AK74" s="8">
        <f t="shared" si="28"/>
        <v>183.07035993362933</v>
      </c>
      <c r="AL74" s="8">
        <f t="shared" si="28"/>
        <v>183.07035993362933</v>
      </c>
      <c r="AM74" s="8">
        <f t="shared" si="28"/>
        <v>183.07035993362933</v>
      </c>
      <c r="AN74" s="8">
        <f t="shared" si="28"/>
        <v>183.07035993362933</v>
      </c>
      <c r="AO74" s="8">
        <f t="shared" si="28"/>
        <v>183.07035993362933</v>
      </c>
      <c r="AP74" s="8">
        <f t="shared" si="28"/>
        <v>183.07035993362933</v>
      </c>
      <c r="AQ74" s="8">
        <f t="shared" si="28"/>
        <v>183.07035993362933</v>
      </c>
      <c r="AR74" s="8">
        <f t="shared" si="28"/>
        <v>183.07035993362933</v>
      </c>
      <c r="AS74" s="8">
        <f t="shared" si="28"/>
        <v>183.07035993362933</v>
      </c>
      <c r="AT74" s="8">
        <f t="shared" si="28"/>
        <v>183.07035993362933</v>
      </c>
      <c r="AU74" s="8">
        <f t="shared" si="28"/>
        <v>183.07035993362933</v>
      </c>
      <c r="AV74" s="8">
        <f t="shared" si="28"/>
        <v>183.07035993362933</v>
      </c>
    </row>
    <row r="75" spans="1:48">
      <c r="A75" s="185" t="s">
        <v>16</v>
      </c>
      <c r="B75" s="264" t="s">
        <v>244</v>
      </c>
      <c r="C75" s="87" t="str">
        <f t="shared" si="26"/>
        <v>Commercial - Water Heating</v>
      </c>
      <c r="D75" s="87" t="s">
        <v>75</v>
      </c>
      <c r="E75" s="96">
        <f t="shared" si="29"/>
        <v>72.906473658117989</v>
      </c>
      <c r="F75" s="104">
        <f t="shared" si="30"/>
        <v>95.432706346388613</v>
      </c>
      <c r="G75" s="104">
        <f t="shared" si="27"/>
        <v>95.432706346388613</v>
      </c>
      <c r="H75" s="104">
        <f t="shared" si="31"/>
        <v>95.432706346388613</v>
      </c>
      <c r="I75" s="150">
        <f t="shared" si="27"/>
        <v>95.432706346388613</v>
      </c>
      <c r="J75" s="8">
        <f t="shared" si="32"/>
        <v>72.906473658117989</v>
      </c>
      <c r="K75" s="8">
        <f t="shared" si="32"/>
        <v>77.411720195772119</v>
      </c>
      <c r="L75" s="8">
        <f t="shared" si="32"/>
        <v>81.91696673342625</v>
      </c>
      <c r="M75" s="8">
        <f t="shared" si="32"/>
        <v>86.422213271080381</v>
      </c>
      <c r="N75" s="8">
        <f t="shared" si="32"/>
        <v>90.927459808734511</v>
      </c>
      <c r="O75" s="8">
        <f t="shared" si="32"/>
        <v>95.432706346388613</v>
      </c>
      <c r="P75" s="8">
        <f t="shared" si="32"/>
        <v>95.432706346388613</v>
      </c>
      <c r="Q75" s="8">
        <f t="shared" si="32"/>
        <v>95.432706346388613</v>
      </c>
      <c r="R75" s="8">
        <f t="shared" si="32"/>
        <v>95.432706346388613</v>
      </c>
      <c r="S75" s="8">
        <f t="shared" si="32"/>
        <v>95.432706346388613</v>
      </c>
      <c r="T75" s="8">
        <f t="shared" si="32"/>
        <v>95.432706346388613</v>
      </c>
      <c r="U75" s="8">
        <f t="shared" si="32"/>
        <v>95.432706346388613</v>
      </c>
      <c r="V75" s="8">
        <f t="shared" si="32"/>
        <v>95.432706346388613</v>
      </c>
      <c r="W75" s="8">
        <f t="shared" si="32"/>
        <v>95.432706346388613</v>
      </c>
      <c r="X75" s="8">
        <f t="shared" si="32"/>
        <v>95.432706346388613</v>
      </c>
      <c r="Y75" s="8">
        <f t="shared" si="32"/>
        <v>95.432706346388613</v>
      </c>
      <c r="Z75" s="8">
        <f t="shared" si="28"/>
        <v>95.432706346388613</v>
      </c>
      <c r="AA75" s="8">
        <f t="shared" si="28"/>
        <v>95.432706346388613</v>
      </c>
      <c r="AB75" s="8">
        <f t="shared" si="28"/>
        <v>95.432706346388613</v>
      </c>
      <c r="AC75" s="8">
        <f t="shared" si="28"/>
        <v>95.432706346388613</v>
      </c>
      <c r="AD75" s="8">
        <f t="shared" si="28"/>
        <v>95.432706346388613</v>
      </c>
      <c r="AE75" s="8">
        <f t="shared" si="28"/>
        <v>95.432706346388613</v>
      </c>
      <c r="AF75" s="8">
        <f t="shared" si="28"/>
        <v>95.432706346388613</v>
      </c>
      <c r="AG75" s="8">
        <f t="shared" si="28"/>
        <v>95.432706346388613</v>
      </c>
      <c r="AH75" s="8">
        <f t="shared" si="28"/>
        <v>95.432706346388613</v>
      </c>
      <c r="AI75" s="8">
        <f t="shared" si="28"/>
        <v>95.432706346388613</v>
      </c>
      <c r="AJ75" s="8">
        <f t="shared" si="28"/>
        <v>95.432706346388613</v>
      </c>
      <c r="AK75" s="8">
        <f t="shared" si="28"/>
        <v>95.432706346388613</v>
      </c>
      <c r="AL75" s="8">
        <f t="shared" si="28"/>
        <v>95.432706346388613</v>
      </c>
      <c r="AM75" s="8">
        <f t="shared" si="28"/>
        <v>95.432706346388613</v>
      </c>
      <c r="AN75" s="8">
        <f t="shared" si="28"/>
        <v>95.432706346388613</v>
      </c>
      <c r="AO75" s="8">
        <f t="shared" si="28"/>
        <v>95.432706346388613</v>
      </c>
      <c r="AP75" s="8">
        <f t="shared" si="28"/>
        <v>95.432706346388613</v>
      </c>
      <c r="AQ75" s="8">
        <f t="shared" si="28"/>
        <v>95.432706346388613</v>
      </c>
      <c r="AR75" s="8">
        <f t="shared" si="28"/>
        <v>95.432706346388613</v>
      </c>
      <c r="AS75" s="8">
        <f t="shared" si="28"/>
        <v>95.432706346388613</v>
      </c>
      <c r="AT75" s="8">
        <f t="shared" si="28"/>
        <v>95.432706346388613</v>
      </c>
      <c r="AU75" s="8">
        <f t="shared" si="28"/>
        <v>95.432706346388613</v>
      </c>
      <c r="AV75" s="8">
        <f t="shared" si="28"/>
        <v>95.432706346388613</v>
      </c>
    </row>
    <row r="76" spans="1:48">
      <c r="A76" s="185" t="s">
        <v>16</v>
      </c>
      <c r="B76" s="264" t="s">
        <v>245</v>
      </c>
      <c r="C76" s="107" t="str">
        <f t="shared" si="26"/>
        <v>Commercial - Public lights</v>
      </c>
      <c r="D76" s="107" t="s">
        <v>75</v>
      </c>
      <c r="E76" s="167">
        <v>0</v>
      </c>
      <c r="F76" s="104">
        <v>0</v>
      </c>
      <c r="G76" s="168">
        <f t="shared" si="27"/>
        <v>0</v>
      </c>
      <c r="H76" s="104">
        <f t="shared" si="31"/>
        <v>0</v>
      </c>
      <c r="I76" s="169">
        <f t="shared" si="27"/>
        <v>0</v>
      </c>
      <c r="J76" s="8">
        <f t="shared" si="32"/>
        <v>0</v>
      </c>
      <c r="K76" s="8">
        <f t="shared" si="32"/>
        <v>0</v>
      </c>
      <c r="L76" s="8">
        <f t="shared" si="32"/>
        <v>0</v>
      </c>
      <c r="M76" s="8">
        <f>IF(M$8=-1,N76,IF(M$8=99,L76,IF(M$8=0,INDEX($E76:$I76,0,M$6),(INDEX($E76:$I76,0,M$8+1)-INDEX($E76:$I76,0,M$8))/(INDEX($D$5:$H$5,0,M$8+1)-INDEX($D$5:$H$5,0,M$8))+L76)))</f>
        <v>0</v>
      </c>
      <c r="N76" s="8">
        <f t="shared" si="32"/>
        <v>0</v>
      </c>
      <c r="O76" s="8">
        <f t="shared" si="32"/>
        <v>0</v>
      </c>
      <c r="P76" s="8">
        <f t="shared" si="32"/>
        <v>0</v>
      </c>
      <c r="Q76" s="8">
        <f t="shared" si="32"/>
        <v>0</v>
      </c>
      <c r="R76" s="8">
        <f t="shared" si="32"/>
        <v>0</v>
      </c>
      <c r="S76" s="8">
        <f t="shared" si="32"/>
        <v>0</v>
      </c>
      <c r="T76" s="8">
        <f t="shared" si="32"/>
        <v>0</v>
      </c>
      <c r="U76" s="8">
        <f t="shared" si="32"/>
        <v>0</v>
      </c>
      <c r="V76" s="8">
        <f t="shared" si="32"/>
        <v>0</v>
      </c>
      <c r="W76" s="8">
        <f t="shared" si="32"/>
        <v>0</v>
      </c>
      <c r="X76" s="8">
        <f t="shared" si="32"/>
        <v>0</v>
      </c>
      <c r="Y76" s="8">
        <f t="shared" si="32"/>
        <v>0</v>
      </c>
      <c r="Z76" s="8">
        <f t="shared" si="28"/>
        <v>0</v>
      </c>
      <c r="AA76" s="8">
        <f t="shared" si="28"/>
        <v>0</v>
      </c>
      <c r="AB76" s="8">
        <f t="shared" si="28"/>
        <v>0</v>
      </c>
      <c r="AC76" s="8">
        <f t="shared" si="28"/>
        <v>0</v>
      </c>
      <c r="AD76" s="8">
        <f t="shared" si="28"/>
        <v>0</v>
      </c>
      <c r="AE76" s="8">
        <f t="shared" si="28"/>
        <v>0</v>
      </c>
      <c r="AF76" s="8">
        <f t="shared" si="28"/>
        <v>0</v>
      </c>
      <c r="AG76" s="8">
        <f t="shared" si="28"/>
        <v>0</v>
      </c>
      <c r="AH76" s="8">
        <f t="shared" si="28"/>
        <v>0</v>
      </c>
      <c r="AI76" s="8">
        <f t="shared" si="28"/>
        <v>0</v>
      </c>
      <c r="AJ76" s="8">
        <f t="shared" si="28"/>
        <v>0</v>
      </c>
      <c r="AK76" s="8">
        <f t="shared" si="28"/>
        <v>0</v>
      </c>
      <c r="AL76" s="8">
        <f t="shared" si="28"/>
        <v>0</v>
      </c>
      <c r="AM76" s="8">
        <f t="shared" si="28"/>
        <v>0</v>
      </c>
      <c r="AN76" s="8">
        <f t="shared" si="28"/>
        <v>0</v>
      </c>
      <c r="AO76" s="8">
        <f t="shared" si="28"/>
        <v>0</v>
      </c>
      <c r="AP76" s="8">
        <f t="shared" si="28"/>
        <v>0</v>
      </c>
      <c r="AQ76" s="8">
        <f t="shared" si="28"/>
        <v>0</v>
      </c>
      <c r="AR76" s="8">
        <f t="shared" si="28"/>
        <v>0</v>
      </c>
      <c r="AS76" s="8">
        <f t="shared" si="28"/>
        <v>0</v>
      </c>
      <c r="AT76" s="8">
        <f t="shared" si="28"/>
        <v>0</v>
      </c>
      <c r="AU76" s="8">
        <f t="shared" si="28"/>
        <v>0</v>
      </c>
      <c r="AV76" s="8">
        <f t="shared" si="28"/>
        <v>0</v>
      </c>
    </row>
    <row r="77" spans="1:48">
      <c r="A77" s="185" t="s">
        <v>16</v>
      </c>
      <c r="B77" s="264" t="s">
        <v>246</v>
      </c>
      <c r="C77" s="107" t="str">
        <f t="shared" si="26"/>
        <v>Commercial - Public Water</v>
      </c>
      <c r="D77" s="107" t="s">
        <v>75</v>
      </c>
      <c r="E77" s="167">
        <v>0</v>
      </c>
      <c r="F77" s="104">
        <v>0</v>
      </c>
      <c r="G77" s="168">
        <f t="shared" si="27"/>
        <v>0</v>
      </c>
      <c r="H77" s="104">
        <f t="shared" si="31"/>
        <v>0</v>
      </c>
      <c r="I77" s="169">
        <f t="shared" si="27"/>
        <v>0</v>
      </c>
      <c r="J77" s="8">
        <f t="shared" si="32"/>
        <v>0</v>
      </c>
      <c r="K77" s="8">
        <f t="shared" si="32"/>
        <v>0</v>
      </c>
      <c r="L77" s="8">
        <f t="shared" si="32"/>
        <v>0</v>
      </c>
      <c r="M77" s="8">
        <f t="shared" si="32"/>
        <v>0</v>
      </c>
      <c r="N77" s="8">
        <f t="shared" si="32"/>
        <v>0</v>
      </c>
      <c r="O77" s="8">
        <f t="shared" si="32"/>
        <v>0</v>
      </c>
      <c r="P77" s="8">
        <f t="shared" si="32"/>
        <v>0</v>
      </c>
      <c r="Q77" s="8">
        <f t="shared" si="32"/>
        <v>0</v>
      </c>
      <c r="R77" s="8">
        <f t="shared" si="32"/>
        <v>0</v>
      </c>
      <c r="S77" s="8">
        <f t="shared" si="32"/>
        <v>0</v>
      </c>
      <c r="T77" s="8">
        <f t="shared" si="32"/>
        <v>0</v>
      </c>
      <c r="U77" s="8">
        <f t="shared" si="32"/>
        <v>0</v>
      </c>
      <c r="V77" s="8">
        <f t="shared" si="32"/>
        <v>0</v>
      </c>
      <c r="W77" s="8">
        <f t="shared" si="32"/>
        <v>0</v>
      </c>
      <c r="X77" s="8">
        <f t="shared" si="32"/>
        <v>0</v>
      </c>
      <c r="Y77" s="8">
        <f t="shared" si="32"/>
        <v>0</v>
      </c>
      <c r="Z77" s="8">
        <f t="shared" si="28"/>
        <v>0</v>
      </c>
      <c r="AA77" s="8">
        <f t="shared" si="28"/>
        <v>0</v>
      </c>
      <c r="AB77" s="8">
        <f t="shared" si="28"/>
        <v>0</v>
      </c>
      <c r="AC77" s="8">
        <f t="shared" si="28"/>
        <v>0</v>
      </c>
      <c r="AD77" s="8">
        <f t="shared" si="28"/>
        <v>0</v>
      </c>
      <c r="AE77" s="8">
        <f t="shared" si="28"/>
        <v>0</v>
      </c>
      <c r="AF77" s="8">
        <f t="shared" si="28"/>
        <v>0</v>
      </c>
      <c r="AG77" s="8">
        <f t="shared" si="28"/>
        <v>0</v>
      </c>
      <c r="AH77" s="8">
        <f t="shared" si="28"/>
        <v>0</v>
      </c>
      <c r="AI77" s="8">
        <f t="shared" si="28"/>
        <v>0</v>
      </c>
      <c r="AJ77" s="8">
        <f t="shared" si="28"/>
        <v>0</v>
      </c>
      <c r="AK77" s="8">
        <f t="shared" si="28"/>
        <v>0</v>
      </c>
      <c r="AL77" s="8">
        <f t="shared" si="28"/>
        <v>0</v>
      </c>
      <c r="AM77" s="8">
        <f t="shared" si="28"/>
        <v>0</v>
      </c>
      <c r="AN77" s="8">
        <f t="shared" si="28"/>
        <v>0</v>
      </c>
      <c r="AO77" s="8">
        <f t="shared" si="28"/>
        <v>0</v>
      </c>
      <c r="AP77" s="8">
        <f t="shared" si="28"/>
        <v>0</v>
      </c>
      <c r="AQ77" s="8">
        <f t="shared" si="28"/>
        <v>0</v>
      </c>
      <c r="AR77" s="8">
        <f t="shared" si="28"/>
        <v>0</v>
      </c>
      <c r="AS77" s="8">
        <f t="shared" si="28"/>
        <v>0</v>
      </c>
      <c r="AT77" s="8">
        <f t="shared" si="28"/>
        <v>0</v>
      </c>
      <c r="AU77" s="8">
        <f t="shared" si="28"/>
        <v>0</v>
      </c>
      <c r="AV77" s="8">
        <f t="shared" si="28"/>
        <v>0</v>
      </c>
    </row>
    <row r="78" spans="1:48">
      <c r="A78" s="185" t="s">
        <v>16</v>
      </c>
      <c r="B78" s="264" t="s">
        <v>247</v>
      </c>
      <c r="C78" s="87" t="str">
        <f t="shared" si="26"/>
        <v>Commercial - Other</v>
      </c>
      <c r="D78" s="87" t="s">
        <v>75</v>
      </c>
      <c r="E78" s="96">
        <f>$D64/J$23</f>
        <v>141.24997285391134</v>
      </c>
      <c r="F78" s="104">
        <f t="shared" si="30"/>
        <v>122.21640392690337</v>
      </c>
      <c r="G78" s="104">
        <f t="shared" si="27"/>
        <v>122.21640392690337</v>
      </c>
      <c r="H78" s="104">
        <f t="shared" si="31"/>
        <v>122.21640392690337</v>
      </c>
      <c r="I78" s="150">
        <f t="shared" si="27"/>
        <v>122.21640392690337</v>
      </c>
      <c r="J78" s="8">
        <f t="shared" si="32"/>
        <v>141.24997285391134</v>
      </c>
      <c r="K78" s="8">
        <f t="shared" si="32"/>
        <v>137.44325906850975</v>
      </c>
      <c r="L78" s="8">
        <f t="shared" si="32"/>
        <v>133.63654528310815</v>
      </c>
      <c r="M78" s="8">
        <f t="shared" si="32"/>
        <v>129.82983149770655</v>
      </c>
      <c r="N78" s="8">
        <f t="shared" si="32"/>
        <v>126.02311771230495</v>
      </c>
      <c r="O78" s="8">
        <f t="shared" si="32"/>
        <v>122.21640392690337</v>
      </c>
      <c r="P78" s="8">
        <f t="shared" si="32"/>
        <v>122.21640392690337</v>
      </c>
      <c r="Q78" s="8">
        <f t="shared" si="32"/>
        <v>122.21640392690337</v>
      </c>
      <c r="R78" s="8">
        <f t="shared" si="32"/>
        <v>122.21640392690337</v>
      </c>
      <c r="S78" s="8">
        <f t="shared" si="32"/>
        <v>122.21640392690337</v>
      </c>
      <c r="T78" s="8">
        <f t="shared" si="32"/>
        <v>122.21640392690337</v>
      </c>
      <c r="U78" s="8">
        <f t="shared" si="32"/>
        <v>122.21640392690337</v>
      </c>
      <c r="V78" s="8">
        <f t="shared" si="32"/>
        <v>122.21640392690337</v>
      </c>
      <c r="W78" s="8">
        <f t="shared" si="32"/>
        <v>122.21640392690337</v>
      </c>
      <c r="X78" s="8">
        <f t="shared" si="32"/>
        <v>122.21640392690337</v>
      </c>
      <c r="Y78" s="8">
        <f t="shared" si="32"/>
        <v>122.21640392690337</v>
      </c>
      <c r="Z78" s="8">
        <f t="shared" si="28"/>
        <v>122.21640392690337</v>
      </c>
      <c r="AA78" s="8">
        <f t="shared" si="28"/>
        <v>122.21640392690337</v>
      </c>
      <c r="AB78" s="8">
        <f t="shared" si="28"/>
        <v>122.21640392690337</v>
      </c>
      <c r="AC78" s="8">
        <f t="shared" si="28"/>
        <v>122.21640392690337</v>
      </c>
      <c r="AD78" s="8">
        <f t="shared" si="28"/>
        <v>122.21640392690337</v>
      </c>
      <c r="AE78" s="8">
        <f t="shared" si="28"/>
        <v>122.21640392690337</v>
      </c>
      <c r="AF78" s="8">
        <f t="shared" si="28"/>
        <v>122.21640392690337</v>
      </c>
      <c r="AG78" s="8">
        <f t="shared" si="28"/>
        <v>122.21640392690337</v>
      </c>
      <c r="AH78" s="8">
        <f t="shared" si="28"/>
        <v>122.21640392690337</v>
      </c>
      <c r="AI78" s="8">
        <f t="shared" si="28"/>
        <v>122.21640392690337</v>
      </c>
      <c r="AJ78" s="8">
        <f t="shared" si="28"/>
        <v>122.21640392690337</v>
      </c>
      <c r="AK78" s="8">
        <f t="shared" si="28"/>
        <v>122.21640392690337</v>
      </c>
      <c r="AL78" s="8">
        <f t="shared" si="28"/>
        <v>122.21640392690337</v>
      </c>
      <c r="AM78" s="8">
        <f t="shared" si="28"/>
        <v>122.21640392690337</v>
      </c>
      <c r="AN78" s="8">
        <f t="shared" si="28"/>
        <v>122.21640392690337</v>
      </c>
      <c r="AO78" s="8">
        <f t="shared" si="28"/>
        <v>122.21640392690337</v>
      </c>
      <c r="AP78" s="8">
        <f t="shared" si="28"/>
        <v>122.21640392690337</v>
      </c>
      <c r="AQ78" s="8">
        <f t="shared" si="28"/>
        <v>122.21640392690337</v>
      </c>
      <c r="AR78" s="8">
        <f t="shared" si="28"/>
        <v>122.21640392690337</v>
      </c>
      <c r="AS78" s="8">
        <f t="shared" si="28"/>
        <v>122.21640392690337</v>
      </c>
      <c r="AT78" s="8">
        <f t="shared" si="28"/>
        <v>122.21640392690337</v>
      </c>
      <c r="AU78" s="8">
        <f t="shared" si="28"/>
        <v>122.21640392690337</v>
      </c>
      <c r="AV78" s="8">
        <f t="shared" si="28"/>
        <v>122.21640392690337</v>
      </c>
    </row>
    <row r="79" spans="1:48">
      <c r="A79" s="185" t="s">
        <v>16</v>
      </c>
      <c r="B79" s="264"/>
      <c r="I79" s="170"/>
      <c r="K79" s="185"/>
      <c r="L79" s="185"/>
      <c r="M79" s="185"/>
      <c r="N79" s="185"/>
      <c r="O79" s="185"/>
      <c r="P79" s="185"/>
      <c r="Q79" s="185"/>
      <c r="R79" s="185"/>
      <c r="S79" s="185"/>
      <c r="T79" s="185"/>
      <c r="U79" s="185"/>
      <c r="V79" s="185"/>
      <c r="W79" s="185"/>
      <c r="X79" s="185"/>
      <c r="Y79" s="185"/>
      <c r="Z79" s="185"/>
      <c r="AA79" s="185"/>
      <c r="AB79" s="185"/>
      <c r="AC79" s="185"/>
      <c r="AD79" s="185"/>
      <c r="AE79" s="185"/>
      <c r="AF79" s="185"/>
      <c r="AG79" s="185"/>
      <c r="AH79" s="185"/>
      <c r="AI79" s="185"/>
      <c r="AJ79" s="185"/>
      <c r="AK79" s="185"/>
      <c r="AL79" s="185"/>
      <c r="AM79" s="185"/>
      <c r="AN79" s="185"/>
      <c r="AO79" s="185"/>
      <c r="AP79" s="185"/>
      <c r="AQ79" s="185"/>
      <c r="AR79" s="185"/>
      <c r="AS79" s="185"/>
      <c r="AT79" s="185"/>
      <c r="AU79" s="185"/>
      <c r="AV79" s="185"/>
    </row>
    <row r="80" spans="1:48" ht="15.75" thickBot="1">
      <c r="A80" s="185" t="s">
        <v>16</v>
      </c>
      <c r="B80" s="103" t="s">
        <v>77</v>
      </c>
      <c r="C80" s="84"/>
      <c r="D80" s="85"/>
      <c r="H80" s="143"/>
      <c r="I80" s="151"/>
      <c r="K80" s="87"/>
    </row>
    <row r="81" spans="1:48">
      <c r="A81" s="185" t="s">
        <v>16</v>
      </c>
      <c r="B81" s="264" t="s">
        <v>248</v>
      </c>
      <c r="C81" s="87" t="str">
        <f t="shared" ref="C81:C89" si="33">C70</f>
        <v>Commercial - Cooling</v>
      </c>
      <c r="D81" s="87" t="s">
        <v>75</v>
      </c>
      <c r="E81" s="96">
        <f>E70</f>
        <v>1051.567060091292</v>
      </c>
      <c r="F81" s="104">
        <f>F70</f>
        <v>864.77958996918915</v>
      </c>
      <c r="G81" s="104">
        <f t="shared" ref="G81:G89" si="34">F81</f>
        <v>864.77958996918915</v>
      </c>
      <c r="H81" s="104">
        <f>G81*(1+$H$69)</f>
        <v>864.77958996918915</v>
      </c>
      <c r="I81" s="150">
        <f t="shared" ref="I81:I89" si="35">H81</f>
        <v>864.77958996918915</v>
      </c>
      <c r="J81" s="8">
        <f>IF(J$8=-1,K81,IF(J$8=99,I81,IF(J$8=0,INDEX($E81:$I81,0,J$6),(INDEX($E81:$I81,0,J$8+1)-INDEX($E81:$I81,0,J$8))/(INDEX($D$5:$H$5,0,J$8+1)-INDEX($D$5:$H$5,0,J$8))+I81)))</f>
        <v>1051.567060091292</v>
      </c>
      <c r="K81" s="8">
        <f>IF(K$8=-1,L81,IF(K$8=99,J81,IF(K$8=0,INDEX($E81:$I81,0,K$6),(INDEX($E81:$I81,0,K$8+1)-INDEX($E81:$I81,0,K$8))/(INDEX($D$5:$H$5,0,K$8+1)-INDEX($D$5:$H$5,0,K$8))+J81)))</f>
        <v>1014.2095660668714</v>
      </c>
      <c r="L81" s="8">
        <f t="shared" ref="L81:AA89" si="36">IF(L$8=-1,M81,IF(L$8=99,K81,IF(L$8=0,INDEX($E81:$I81,0,L$6),(INDEX($E81:$I81,0,L$8+1)-INDEX($E81:$I81,0,L$8))/(INDEX($D$5:$H$5,0,L$8+1)-INDEX($D$5:$H$5,0,L$8))+K81)))</f>
        <v>976.8520720424508</v>
      </c>
      <c r="M81" s="8">
        <f t="shared" si="36"/>
        <v>939.49457801803021</v>
      </c>
      <c r="N81" s="8">
        <f t="shared" si="36"/>
        <v>902.13708399360962</v>
      </c>
      <c r="O81" s="8">
        <f t="shared" si="36"/>
        <v>864.77958996918915</v>
      </c>
      <c r="P81" s="8">
        <f t="shared" si="36"/>
        <v>864.77958996918915</v>
      </c>
      <c r="Q81" s="8">
        <f t="shared" si="36"/>
        <v>864.77958996918915</v>
      </c>
      <c r="R81" s="8">
        <f t="shared" si="36"/>
        <v>864.77958996918915</v>
      </c>
      <c r="S81" s="8">
        <f t="shared" si="36"/>
        <v>864.77958996918915</v>
      </c>
      <c r="T81" s="8">
        <f t="shared" si="36"/>
        <v>864.77958996918915</v>
      </c>
      <c r="U81" s="8">
        <f t="shared" si="36"/>
        <v>864.77958996918915</v>
      </c>
      <c r="V81" s="8">
        <f t="shared" si="36"/>
        <v>864.77958996918915</v>
      </c>
      <c r="W81" s="8">
        <f t="shared" si="36"/>
        <v>864.77958996918915</v>
      </c>
      <c r="X81" s="8">
        <f t="shared" si="36"/>
        <v>864.77958996918915</v>
      </c>
      <c r="Y81" s="8">
        <f t="shared" si="36"/>
        <v>864.77958996918915</v>
      </c>
      <c r="Z81" s="8">
        <f t="shared" si="36"/>
        <v>864.77958996918915</v>
      </c>
      <c r="AA81" s="8">
        <f t="shared" si="36"/>
        <v>864.77958996918915</v>
      </c>
      <c r="AB81" s="8">
        <f t="shared" ref="AB81:AQ89" si="37">IF(AB$8=-1,AC81,IF(AB$8=99,AA81,IF(AB$8=0,INDEX($E81:$I81,0,AB$6),(INDEX($E81:$I81,0,AB$8+1)-INDEX($E81:$I81,0,AB$8))/(INDEX($D$5:$H$5,0,AB$8+1)-INDEX($D$5:$H$5,0,AB$8))+AA81)))</f>
        <v>864.77958996918915</v>
      </c>
      <c r="AC81" s="8">
        <f t="shared" si="37"/>
        <v>864.77958996918915</v>
      </c>
      <c r="AD81" s="8">
        <f t="shared" si="37"/>
        <v>864.77958996918915</v>
      </c>
      <c r="AE81" s="8">
        <f t="shared" si="37"/>
        <v>864.77958996918915</v>
      </c>
      <c r="AF81" s="8">
        <f t="shared" si="37"/>
        <v>864.77958996918915</v>
      </c>
      <c r="AG81" s="8">
        <f t="shared" si="37"/>
        <v>864.77958996918915</v>
      </c>
      <c r="AH81" s="8">
        <f t="shared" si="37"/>
        <v>864.77958996918915</v>
      </c>
      <c r="AI81" s="8">
        <f t="shared" si="37"/>
        <v>864.77958996918915</v>
      </c>
      <c r="AJ81" s="8">
        <f t="shared" si="37"/>
        <v>864.77958996918915</v>
      </c>
      <c r="AK81" s="8">
        <f t="shared" si="37"/>
        <v>864.77958996918915</v>
      </c>
      <c r="AL81" s="8">
        <f t="shared" si="37"/>
        <v>864.77958996918915</v>
      </c>
      <c r="AM81" s="8">
        <f t="shared" si="37"/>
        <v>864.77958996918915</v>
      </c>
      <c r="AN81" s="8">
        <f t="shared" si="37"/>
        <v>864.77958996918915</v>
      </c>
      <c r="AO81" s="8">
        <f t="shared" si="37"/>
        <v>864.77958996918915</v>
      </c>
      <c r="AP81" s="8">
        <f t="shared" si="37"/>
        <v>864.77958996918915</v>
      </c>
      <c r="AQ81" s="8">
        <f t="shared" si="37"/>
        <v>864.77958996918915</v>
      </c>
      <c r="AR81" s="8">
        <f t="shared" ref="AR81:AV89" si="38">IF(AR$8=-1,AS81,IF(AR$8=99,AQ81,IF(AR$8=0,INDEX($E81:$I81,0,AR$6),(INDEX($E81:$I81,0,AR$8+1)-INDEX($E81:$I81,0,AR$8))/(INDEX($D$5:$H$5,0,AR$8+1)-INDEX($D$5:$H$5,0,AR$8))+AQ81)))</f>
        <v>864.77958996918915</v>
      </c>
      <c r="AS81" s="8">
        <f t="shared" si="38"/>
        <v>864.77958996918915</v>
      </c>
      <c r="AT81" s="8">
        <f t="shared" si="38"/>
        <v>864.77958996918915</v>
      </c>
      <c r="AU81" s="8">
        <f t="shared" si="38"/>
        <v>864.77958996918915</v>
      </c>
      <c r="AV81" s="8">
        <f t="shared" si="38"/>
        <v>864.77958996918915</v>
      </c>
    </row>
    <row r="82" spans="1:48">
      <c r="A82" s="185" t="s">
        <v>16</v>
      </c>
      <c r="B82" s="264" t="s">
        <v>249</v>
      </c>
      <c r="C82" s="87" t="str">
        <f t="shared" si="33"/>
        <v>Commercial - Space Heating</v>
      </c>
      <c r="D82" s="87" t="s">
        <v>75</v>
      </c>
      <c r="E82" s="96">
        <f t="shared" ref="E82:F89" si="39">E71</f>
        <v>59.117764859369188</v>
      </c>
      <c r="F82" s="104">
        <f t="shared" si="39"/>
        <v>82.470862832548889</v>
      </c>
      <c r="G82" s="104">
        <f t="shared" si="34"/>
        <v>82.470862832548889</v>
      </c>
      <c r="H82" s="104">
        <f t="shared" ref="H82:H89" si="40">G82*(1+$H$69)</f>
        <v>82.470862832548889</v>
      </c>
      <c r="I82" s="150">
        <f t="shared" si="35"/>
        <v>82.470862832548889</v>
      </c>
      <c r="J82" s="8">
        <f t="shared" ref="J82:K89" si="41">IF(J$8=-1,K82,IF(J$8=99,I82,IF(J$8=0,INDEX($E82:$I82,0,J$6),(INDEX($E82:$I82,0,J$8+1)-INDEX($E82:$I82,0,J$8))/(INDEX($D$5:$H$5,0,J$8+1)-INDEX($D$5:$H$5,0,J$8))+I82)))</f>
        <v>59.117764859369188</v>
      </c>
      <c r="K82" s="8">
        <f t="shared" si="41"/>
        <v>63.788384454005126</v>
      </c>
      <c r="L82" s="8">
        <f t="shared" si="36"/>
        <v>68.459004048641063</v>
      </c>
      <c r="M82" s="8">
        <f t="shared" si="36"/>
        <v>73.129623643277</v>
      </c>
      <c r="N82" s="8">
        <f t="shared" si="36"/>
        <v>77.800243237912937</v>
      </c>
      <c r="O82" s="8">
        <f t="shared" si="36"/>
        <v>82.470862832548889</v>
      </c>
      <c r="P82" s="8">
        <f t="shared" si="36"/>
        <v>82.470862832548889</v>
      </c>
      <c r="Q82" s="8">
        <f t="shared" si="36"/>
        <v>82.470862832548889</v>
      </c>
      <c r="R82" s="8">
        <f t="shared" si="36"/>
        <v>82.470862832548889</v>
      </c>
      <c r="S82" s="8">
        <f t="shared" si="36"/>
        <v>82.470862832548889</v>
      </c>
      <c r="T82" s="8">
        <f t="shared" si="36"/>
        <v>82.470862832548889</v>
      </c>
      <c r="U82" s="8">
        <f t="shared" si="36"/>
        <v>82.470862832548889</v>
      </c>
      <c r="V82" s="8">
        <f t="shared" si="36"/>
        <v>82.470862832548889</v>
      </c>
      <c r="W82" s="8">
        <f t="shared" si="36"/>
        <v>82.470862832548889</v>
      </c>
      <c r="X82" s="8">
        <f t="shared" si="36"/>
        <v>82.470862832548889</v>
      </c>
      <c r="Y82" s="8">
        <f t="shared" si="36"/>
        <v>82.470862832548889</v>
      </c>
      <c r="Z82" s="8">
        <f t="shared" si="36"/>
        <v>82.470862832548889</v>
      </c>
      <c r="AA82" s="8">
        <f t="shared" si="36"/>
        <v>82.470862832548889</v>
      </c>
      <c r="AB82" s="8">
        <f t="shared" si="37"/>
        <v>82.470862832548889</v>
      </c>
      <c r="AC82" s="8">
        <f t="shared" si="37"/>
        <v>82.470862832548889</v>
      </c>
      <c r="AD82" s="8">
        <f t="shared" si="37"/>
        <v>82.470862832548889</v>
      </c>
      <c r="AE82" s="8">
        <f t="shared" si="37"/>
        <v>82.470862832548889</v>
      </c>
      <c r="AF82" s="8">
        <f t="shared" si="37"/>
        <v>82.470862832548889</v>
      </c>
      <c r="AG82" s="8">
        <f t="shared" si="37"/>
        <v>82.470862832548889</v>
      </c>
      <c r="AH82" s="8">
        <f t="shared" si="37"/>
        <v>82.470862832548889</v>
      </c>
      <c r="AI82" s="8">
        <f t="shared" si="37"/>
        <v>82.470862832548889</v>
      </c>
      <c r="AJ82" s="8">
        <f t="shared" si="37"/>
        <v>82.470862832548889</v>
      </c>
      <c r="AK82" s="8">
        <f t="shared" si="37"/>
        <v>82.470862832548889</v>
      </c>
      <c r="AL82" s="8">
        <f t="shared" si="37"/>
        <v>82.470862832548889</v>
      </c>
      <c r="AM82" s="8">
        <f t="shared" si="37"/>
        <v>82.470862832548889</v>
      </c>
      <c r="AN82" s="8">
        <f t="shared" si="37"/>
        <v>82.470862832548889</v>
      </c>
      <c r="AO82" s="8">
        <f t="shared" si="37"/>
        <v>82.470862832548889</v>
      </c>
      <c r="AP82" s="8">
        <f t="shared" si="37"/>
        <v>82.470862832548889</v>
      </c>
      <c r="AQ82" s="8">
        <f t="shared" si="37"/>
        <v>82.470862832548889</v>
      </c>
      <c r="AR82" s="8">
        <f t="shared" si="38"/>
        <v>82.470862832548889</v>
      </c>
      <c r="AS82" s="8">
        <f t="shared" si="38"/>
        <v>82.470862832548889</v>
      </c>
      <c r="AT82" s="8">
        <f t="shared" si="38"/>
        <v>82.470862832548889</v>
      </c>
      <c r="AU82" s="8">
        <f t="shared" si="38"/>
        <v>82.470862832548889</v>
      </c>
      <c r="AV82" s="8">
        <f t="shared" si="38"/>
        <v>82.470862832548889</v>
      </c>
    </row>
    <row r="83" spans="1:48">
      <c r="A83" s="185" t="s">
        <v>16</v>
      </c>
      <c r="B83" s="264" t="s">
        <v>250</v>
      </c>
      <c r="C83" s="87" t="str">
        <f t="shared" si="33"/>
        <v>Commercial - Cooking</v>
      </c>
      <c r="D83" s="87" t="s">
        <v>75</v>
      </c>
      <c r="E83" s="96">
        <f t="shared" si="39"/>
        <v>74.498085701673531</v>
      </c>
      <c r="F83" s="104">
        <f t="shared" si="39"/>
        <v>61.683981193944355</v>
      </c>
      <c r="G83" s="104">
        <f t="shared" si="34"/>
        <v>61.683981193944355</v>
      </c>
      <c r="H83" s="104">
        <f t="shared" si="40"/>
        <v>61.683981193944355</v>
      </c>
      <c r="I83" s="150">
        <f t="shared" si="35"/>
        <v>61.683981193944355</v>
      </c>
      <c r="J83" s="8">
        <f t="shared" si="41"/>
        <v>74.498085701673531</v>
      </c>
      <c r="K83" s="8">
        <f t="shared" si="41"/>
        <v>71.935264800127698</v>
      </c>
      <c r="L83" s="8">
        <f t="shared" si="36"/>
        <v>69.372443898581864</v>
      </c>
      <c r="M83" s="8">
        <f t="shared" si="36"/>
        <v>66.80962299703603</v>
      </c>
      <c r="N83" s="8">
        <f t="shared" si="36"/>
        <v>64.246802095490196</v>
      </c>
      <c r="O83" s="8">
        <f t="shared" si="36"/>
        <v>61.683981193944355</v>
      </c>
      <c r="P83" s="8">
        <f t="shared" si="36"/>
        <v>61.683981193944355</v>
      </c>
      <c r="Q83" s="8">
        <f t="shared" si="36"/>
        <v>61.683981193944355</v>
      </c>
      <c r="R83" s="8">
        <f t="shared" si="36"/>
        <v>61.683981193944355</v>
      </c>
      <c r="S83" s="8">
        <f t="shared" si="36"/>
        <v>61.683981193944355</v>
      </c>
      <c r="T83" s="8">
        <f t="shared" si="36"/>
        <v>61.683981193944355</v>
      </c>
      <c r="U83" s="8">
        <f t="shared" si="36"/>
        <v>61.683981193944355</v>
      </c>
      <c r="V83" s="8">
        <f t="shared" si="36"/>
        <v>61.683981193944355</v>
      </c>
      <c r="W83" s="8">
        <f t="shared" si="36"/>
        <v>61.683981193944355</v>
      </c>
      <c r="X83" s="8">
        <f t="shared" si="36"/>
        <v>61.683981193944355</v>
      </c>
      <c r="Y83" s="8">
        <f t="shared" si="36"/>
        <v>61.683981193944355</v>
      </c>
      <c r="Z83" s="8">
        <f t="shared" si="36"/>
        <v>61.683981193944355</v>
      </c>
      <c r="AA83" s="8">
        <f t="shared" si="36"/>
        <v>61.683981193944355</v>
      </c>
      <c r="AB83" s="8">
        <f t="shared" si="37"/>
        <v>61.683981193944355</v>
      </c>
      <c r="AC83" s="8">
        <f t="shared" si="37"/>
        <v>61.683981193944355</v>
      </c>
      <c r="AD83" s="8">
        <f t="shared" si="37"/>
        <v>61.683981193944355</v>
      </c>
      <c r="AE83" s="8">
        <f t="shared" si="37"/>
        <v>61.683981193944355</v>
      </c>
      <c r="AF83" s="8">
        <f t="shared" si="37"/>
        <v>61.683981193944355</v>
      </c>
      <c r="AG83" s="8">
        <f t="shared" si="37"/>
        <v>61.683981193944355</v>
      </c>
      <c r="AH83" s="8">
        <f t="shared" si="37"/>
        <v>61.683981193944355</v>
      </c>
      <c r="AI83" s="8">
        <f t="shared" si="37"/>
        <v>61.683981193944355</v>
      </c>
      <c r="AJ83" s="8">
        <f t="shared" si="37"/>
        <v>61.683981193944355</v>
      </c>
      <c r="AK83" s="8">
        <f t="shared" si="37"/>
        <v>61.683981193944355</v>
      </c>
      <c r="AL83" s="8">
        <f t="shared" si="37"/>
        <v>61.683981193944355</v>
      </c>
      <c r="AM83" s="8">
        <f t="shared" si="37"/>
        <v>61.683981193944355</v>
      </c>
      <c r="AN83" s="8">
        <f t="shared" si="37"/>
        <v>61.683981193944355</v>
      </c>
      <c r="AO83" s="8">
        <f t="shared" si="37"/>
        <v>61.683981193944355</v>
      </c>
      <c r="AP83" s="8">
        <f t="shared" si="37"/>
        <v>61.683981193944355</v>
      </c>
      <c r="AQ83" s="8">
        <f t="shared" si="37"/>
        <v>61.683981193944355</v>
      </c>
      <c r="AR83" s="8">
        <f t="shared" si="38"/>
        <v>61.683981193944355</v>
      </c>
      <c r="AS83" s="8">
        <f t="shared" si="38"/>
        <v>61.683981193944355</v>
      </c>
      <c r="AT83" s="8">
        <f t="shared" si="38"/>
        <v>61.683981193944355</v>
      </c>
      <c r="AU83" s="8">
        <f t="shared" si="38"/>
        <v>61.683981193944355</v>
      </c>
      <c r="AV83" s="8">
        <f t="shared" si="38"/>
        <v>61.683981193944355</v>
      </c>
    </row>
    <row r="84" spans="1:48">
      <c r="A84" s="185" t="s">
        <v>16</v>
      </c>
      <c r="B84" s="264" t="s">
        <v>251</v>
      </c>
      <c r="C84" s="87" t="str">
        <f t="shared" si="33"/>
        <v>Commercial - Lighting</v>
      </c>
      <c r="D84" s="87" t="s">
        <v>75</v>
      </c>
      <c r="E84" s="96">
        <f t="shared" si="39"/>
        <v>915.10615144128838</v>
      </c>
      <c r="F84" s="104">
        <f t="shared" si="39"/>
        <v>752.55792279474565</v>
      </c>
      <c r="G84" s="104">
        <f t="shared" si="34"/>
        <v>752.55792279474565</v>
      </c>
      <c r="H84" s="104">
        <f t="shared" si="40"/>
        <v>752.55792279474565</v>
      </c>
      <c r="I84" s="150">
        <f t="shared" si="35"/>
        <v>752.55792279474565</v>
      </c>
      <c r="J84" s="8">
        <f t="shared" si="41"/>
        <v>915.10615144128838</v>
      </c>
      <c r="K84" s="8">
        <f t="shared" si="41"/>
        <v>882.59650571197983</v>
      </c>
      <c r="L84" s="8">
        <f t="shared" si="36"/>
        <v>850.08685998267129</v>
      </c>
      <c r="M84" s="8">
        <f t="shared" si="36"/>
        <v>817.57721425336274</v>
      </c>
      <c r="N84" s="8">
        <f t="shared" si="36"/>
        <v>785.0675685240542</v>
      </c>
      <c r="O84" s="8">
        <f t="shared" si="36"/>
        <v>752.55792279474565</v>
      </c>
      <c r="P84" s="8">
        <f t="shared" si="36"/>
        <v>752.55792279474565</v>
      </c>
      <c r="Q84" s="8">
        <f t="shared" si="36"/>
        <v>752.55792279474565</v>
      </c>
      <c r="R84" s="8">
        <f t="shared" si="36"/>
        <v>752.55792279474565</v>
      </c>
      <c r="S84" s="8">
        <f t="shared" si="36"/>
        <v>752.55792279474565</v>
      </c>
      <c r="T84" s="8">
        <f t="shared" si="36"/>
        <v>752.55792279474565</v>
      </c>
      <c r="U84" s="8">
        <f t="shared" si="36"/>
        <v>752.55792279474565</v>
      </c>
      <c r="V84" s="8">
        <f t="shared" si="36"/>
        <v>752.55792279474565</v>
      </c>
      <c r="W84" s="8">
        <f t="shared" si="36"/>
        <v>752.55792279474565</v>
      </c>
      <c r="X84" s="8">
        <f t="shared" si="36"/>
        <v>752.55792279474565</v>
      </c>
      <c r="Y84" s="8">
        <f t="shared" si="36"/>
        <v>752.55792279474565</v>
      </c>
      <c r="Z84" s="8">
        <f t="shared" si="36"/>
        <v>752.55792279474565</v>
      </c>
      <c r="AA84" s="8">
        <f t="shared" si="36"/>
        <v>752.55792279474565</v>
      </c>
      <c r="AB84" s="8">
        <f t="shared" si="37"/>
        <v>752.55792279474565</v>
      </c>
      <c r="AC84" s="8">
        <f t="shared" si="37"/>
        <v>752.55792279474565</v>
      </c>
      <c r="AD84" s="8">
        <f t="shared" si="37"/>
        <v>752.55792279474565</v>
      </c>
      <c r="AE84" s="8">
        <f t="shared" si="37"/>
        <v>752.55792279474565</v>
      </c>
      <c r="AF84" s="8">
        <f t="shared" si="37"/>
        <v>752.55792279474565</v>
      </c>
      <c r="AG84" s="8">
        <f t="shared" si="37"/>
        <v>752.55792279474565</v>
      </c>
      <c r="AH84" s="8">
        <f t="shared" si="37"/>
        <v>752.55792279474565</v>
      </c>
      <c r="AI84" s="8">
        <f t="shared" si="37"/>
        <v>752.55792279474565</v>
      </c>
      <c r="AJ84" s="8">
        <f t="shared" si="37"/>
        <v>752.55792279474565</v>
      </c>
      <c r="AK84" s="8">
        <f t="shared" si="37"/>
        <v>752.55792279474565</v>
      </c>
      <c r="AL84" s="8">
        <f t="shared" si="37"/>
        <v>752.55792279474565</v>
      </c>
      <c r="AM84" s="8">
        <f t="shared" si="37"/>
        <v>752.55792279474565</v>
      </c>
      <c r="AN84" s="8">
        <f t="shared" si="37"/>
        <v>752.55792279474565</v>
      </c>
      <c r="AO84" s="8">
        <f t="shared" si="37"/>
        <v>752.55792279474565</v>
      </c>
      <c r="AP84" s="8">
        <f t="shared" si="37"/>
        <v>752.55792279474565</v>
      </c>
      <c r="AQ84" s="8">
        <f t="shared" si="37"/>
        <v>752.55792279474565</v>
      </c>
      <c r="AR84" s="8">
        <f t="shared" si="38"/>
        <v>752.55792279474565</v>
      </c>
      <c r="AS84" s="8">
        <f t="shared" si="38"/>
        <v>752.55792279474565</v>
      </c>
      <c r="AT84" s="8">
        <f t="shared" si="38"/>
        <v>752.55792279474565</v>
      </c>
      <c r="AU84" s="8">
        <f t="shared" si="38"/>
        <v>752.55792279474565</v>
      </c>
      <c r="AV84" s="8">
        <f t="shared" si="38"/>
        <v>752.55792279474565</v>
      </c>
    </row>
    <row r="85" spans="1:48">
      <c r="A85" s="185" t="s">
        <v>16</v>
      </c>
      <c r="B85" s="264" t="s">
        <v>252</v>
      </c>
      <c r="C85" s="87" t="str">
        <f t="shared" si="33"/>
        <v>Commercial - Refrigeration</v>
      </c>
      <c r="D85" s="87" t="s">
        <v>75</v>
      </c>
      <c r="E85" s="96">
        <f t="shared" si="39"/>
        <v>222.61251585750318</v>
      </c>
      <c r="F85" s="104">
        <f t="shared" si="39"/>
        <v>183.07035993362933</v>
      </c>
      <c r="G85" s="104">
        <f t="shared" si="34"/>
        <v>183.07035993362933</v>
      </c>
      <c r="H85" s="104">
        <f t="shared" si="40"/>
        <v>183.07035993362933</v>
      </c>
      <c r="I85" s="150">
        <f t="shared" si="35"/>
        <v>183.07035993362933</v>
      </c>
      <c r="J85" s="8">
        <f t="shared" si="41"/>
        <v>222.61251585750318</v>
      </c>
      <c r="K85" s="8">
        <f t="shared" si="41"/>
        <v>214.70408467272841</v>
      </c>
      <c r="L85" s="8">
        <f t="shared" si="36"/>
        <v>206.79565348795364</v>
      </c>
      <c r="M85" s="8">
        <f t="shared" si="36"/>
        <v>198.88722230317887</v>
      </c>
      <c r="N85" s="8">
        <f t="shared" si="36"/>
        <v>190.9787911184041</v>
      </c>
      <c r="O85" s="8">
        <f t="shared" si="36"/>
        <v>183.07035993362933</v>
      </c>
      <c r="P85" s="8">
        <f t="shared" si="36"/>
        <v>183.07035993362933</v>
      </c>
      <c r="Q85" s="8">
        <f t="shared" si="36"/>
        <v>183.07035993362933</v>
      </c>
      <c r="R85" s="8">
        <f t="shared" si="36"/>
        <v>183.07035993362933</v>
      </c>
      <c r="S85" s="8">
        <f t="shared" si="36"/>
        <v>183.07035993362933</v>
      </c>
      <c r="T85" s="8">
        <f t="shared" si="36"/>
        <v>183.07035993362933</v>
      </c>
      <c r="U85" s="8">
        <f t="shared" si="36"/>
        <v>183.07035993362933</v>
      </c>
      <c r="V85" s="8">
        <f t="shared" si="36"/>
        <v>183.07035993362933</v>
      </c>
      <c r="W85" s="8">
        <f t="shared" si="36"/>
        <v>183.07035993362933</v>
      </c>
      <c r="X85" s="8">
        <f t="shared" si="36"/>
        <v>183.07035993362933</v>
      </c>
      <c r="Y85" s="8">
        <f t="shared" si="36"/>
        <v>183.07035993362933</v>
      </c>
      <c r="Z85" s="8">
        <f t="shared" si="36"/>
        <v>183.07035993362933</v>
      </c>
      <c r="AA85" s="8">
        <f t="shared" si="36"/>
        <v>183.07035993362933</v>
      </c>
      <c r="AB85" s="8">
        <f t="shared" si="37"/>
        <v>183.07035993362933</v>
      </c>
      <c r="AC85" s="8">
        <f t="shared" si="37"/>
        <v>183.07035993362933</v>
      </c>
      <c r="AD85" s="8">
        <f t="shared" si="37"/>
        <v>183.07035993362933</v>
      </c>
      <c r="AE85" s="8">
        <f t="shared" si="37"/>
        <v>183.07035993362933</v>
      </c>
      <c r="AF85" s="8">
        <f t="shared" si="37"/>
        <v>183.07035993362933</v>
      </c>
      <c r="AG85" s="8">
        <f t="shared" si="37"/>
        <v>183.07035993362933</v>
      </c>
      <c r="AH85" s="8">
        <f t="shared" si="37"/>
        <v>183.07035993362933</v>
      </c>
      <c r="AI85" s="8">
        <f t="shared" si="37"/>
        <v>183.07035993362933</v>
      </c>
      <c r="AJ85" s="8">
        <f t="shared" si="37"/>
        <v>183.07035993362933</v>
      </c>
      <c r="AK85" s="8">
        <f t="shared" si="37"/>
        <v>183.07035993362933</v>
      </c>
      <c r="AL85" s="8">
        <f t="shared" si="37"/>
        <v>183.07035993362933</v>
      </c>
      <c r="AM85" s="8">
        <f t="shared" si="37"/>
        <v>183.07035993362933</v>
      </c>
      <c r="AN85" s="8">
        <f t="shared" si="37"/>
        <v>183.07035993362933</v>
      </c>
      <c r="AO85" s="8">
        <f t="shared" si="37"/>
        <v>183.07035993362933</v>
      </c>
      <c r="AP85" s="8">
        <f t="shared" si="37"/>
        <v>183.07035993362933</v>
      </c>
      <c r="AQ85" s="8">
        <f t="shared" si="37"/>
        <v>183.07035993362933</v>
      </c>
      <c r="AR85" s="8">
        <f t="shared" si="38"/>
        <v>183.07035993362933</v>
      </c>
      <c r="AS85" s="8">
        <f t="shared" si="38"/>
        <v>183.07035993362933</v>
      </c>
      <c r="AT85" s="8">
        <f t="shared" si="38"/>
        <v>183.07035993362933</v>
      </c>
      <c r="AU85" s="8">
        <f t="shared" si="38"/>
        <v>183.07035993362933</v>
      </c>
      <c r="AV85" s="8">
        <f t="shared" si="38"/>
        <v>183.07035993362933</v>
      </c>
    </row>
    <row r="86" spans="1:48">
      <c r="A86" s="185" t="s">
        <v>16</v>
      </c>
      <c r="B86" s="264" t="s">
        <v>253</v>
      </c>
      <c r="C86" s="87" t="str">
        <f t="shared" si="33"/>
        <v>Commercial - Water Heating</v>
      </c>
      <c r="D86" s="87" t="s">
        <v>75</v>
      </c>
      <c r="E86" s="96">
        <f t="shared" si="39"/>
        <v>72.906473658117989</v>
      </c>
      <c r="F86" s="104">
        <f t="shared" si="39"/>
        <v>95.432706346388613</v>
      </c>
      <c r="G86" s="104">
        <f t="shared" si="34"/>
        <v>95.432706346388613</v>
      </c>
      <c r="H86" s="104">
        <f t="shared" si="40"/>
        <v>95.432706346388613</v>
      </c>
      <c r="I86" s="150">
        <f t="shared" si="35"/>
        <v>95.432706346388613</v>
      </c>
      <c r="J86" s="8">
        <f t="shared" si="41"/>
        <v>72.906473658117989</v>
      </c>
      <c r="K86" s="8">
        <f t="shared" si="41"/>
        <v>77.411720195772119</v>
      </c>
      <c r="L86" s="8">
        <f t="shared" si="36"/>
        <v>81.91696673342625</v>
      </c>
      <c r="M86" s="8">
        <f t="shared" si="36"/>
        <v>86.422213271080381</v>
      </c>
      <c r="N86" s="8">
        <f t="shared" si="36"/>
        <v>90.927459808734511</v>
      </c>
      <c r="O86" s="8">
        <f t="shared" si="36"/>
        <v>95.432706346388613</v>
      </c>
      <c r="P86" s="8">
        <f t="shared" si="36"/>
        <v>95.432706346388613</v>
      </c>
      <c r="Q86" s="8">
        <f t="shared" si="36"/>
        <v>95.432706346388613</v>
      </c>
      <c r="R86" s="8">
        <f t="shared" si="36"/>
        <v>95.432706346388613</v>
      </c>
      <c r="S86" s="8">
        <f t="shared" si="36"/>
        <v>95.432706346388613</v>
      </c>
      <c r="T86" s="8">
        <f t="shared" si="36"/>
        <v>95.432706346388613</v>
      </c>
      <c r="U86" s="8">
        <f t="shared" si="36"/>
        <v>95.432706346388613</v>
      </c>
      <c r="V86" s="8">
        <f t="shared" si="36"/>
        <v>95.432706346388613</v>
      </c>
      <c r="W86" s="8">
        <f t="shared" si="36"/>
        <v>95.432706346388613</v>
      </c>
      <c r="X86" s="8">
        <f t="shared" si="36"/>
        <v>95.432706346388613</v>
      </c>
      <c r="Y86" s="8">
        <f t="shared" si="36"/>
        <v>95.432706346388613</v>
      </c>
      <c r="Z86" s="8">
        <f t="shared" si="36"/>
        <v>95.432706346388613</v>
      </c>
      <c r="AA86" s="8">
        <f t="shared" si="36"/>
        <v>95.432706346388613</v>
      </c>
      <c r="AB86" s="8">
        <f t="shared" si="37"/>
        <v>95.432706346388613</v>
      </c>
      <c r="AC86" s="8">
        <f t="shared" si="37"/>
        <v>95.432706346388613</v>
      </c>
      <c r="AD86" s="8">
        <f t="shared" si="37"/>
        <v>95.432706346388613</v>
      </c>
      <c r="AE86" s="8">
        <f t="shared" si="37"/>
        <v>95.432706346388613</v>
      </c>
      <c r="AF86" s="8">
        <f t="shared" si="37"/>
        <v>95.432706346388613</v>
      </c>
      <c r="AG86" s="8">
        <f t="shared" si="37"/>
        <v>95.432706346388613</v>
      </c>
      <c r="AH86" s="8">
        <f t="shared" si="37"/>
        <v>95.432706346388613</v>
      </c>
      <c r="AI86" s="8">
        <f t="shared" si="37"/>
        <v>95.432706346388613</v>
      </c>
      <c r="AJ86" s="8">
        <f t="shared" si="37"/>
        <v>95.432706346388613</v>
      </c>
      <c r="AK86" s="8">
        <f t="shared" si="37"/>
        <v>95.432706346388613</v>
      </c>
      <c r="AL86" s="8">
        <f t="shared" si="37"/>
        <v>95.432706346388613</v>
      </c>
      <c r="AM86" s="8">
        <f t="shared" si="37"/>
        <v>95.432706346388613</v>
      </c>
      <c r="AN86" s="8">
        <f t="shared" si="37"/>
        <v>95.432706346388613</v>
      </c>
      <c r="AO86" s="8">
        <f t="shared" si="37"/>
        <v>95.432706346388613</v>
      </c>
      <c r="AP86" s="8">
        <f t="shared" si="37"/>
        <v>95.432706346388613</v>
      </c>
      <c r="AQ86" s="8">
        <f t="shared" si="37"/>
        <v>95.432706346388613</v>
      </c>
      <c r="AR86" s="8">
        <f t="shared" si="38"/>
        <v>95.432706346388613</v>
      </c>
      <c r="AS86" s="8">
        <f t="shared" si="38"/>
        <v>95.432706346388613</v>
      </c>
      <c r="AT86" s="8">
        <f t="shared" si="38"/>
        <v>95.432706346388613</v>
      </c>
      <c r="AU86" s="8">
        <f t="shared" si="38"/>
        <v>95.432706346388613</v>
      </c>
      <c r="AV86" s="8">
        <f t="shared" si="38"/>
        <v>95.432706346388613</v>
      </c>
    </row>
    <row r="87" spans="1:48">
      <c r="A87" s="185" t="s">
        <v>16</v>
      </c>
      <c r="B87" s="264" t="s">
        <v>254</v>
      </c>
      <c r="C87" s="107" t="str">
        <f t="shared" si="33"/>
        <v>Commercial - Public lights</v>
      </c>
      <c r="D87" s="107" t="s">
        <v>75</v>
      </c>
      <c r="E87" s="167">
        <f t="shared" si="39"/>
        <v>0</v>
      </c>
      <c r="F87" s="104">
        <f t="shared" si="39"/>
        <v>0</v>
      </c>
      <c r="G87" s="168">
        <f t="shared" si="34"/>
        <v>0</v>
      </c>
      <c r="H87" s="104">
        <f t="shared" si="40"/>
        <v>0</v>
      </c>
      <c r="I87" s="169">
        <f t="shared" si="35"/>
        <v>0</v>
      </c>
      <c r="J87" s="8">
        <f t="shared" si="41"/>
        <v>0</v>
      </c>
      <c r="K87" s="8">
        <f t="shared" si="41"/>
        <v>0</v>
      </c>
      <c r="L87" s="8">
        <f t="shared" si="36"/>
        <v>0</v>
      </c>
      <c r="M87" s="8">
        <f>IF(M$8=-1,N87,IF(M$8=99,L87,IF(M$8=0,INDEX($E87:$I87,0,M$6),(INDEX($E87:$I87,0,M$8+1)-INDEX($E87:$I87,0,M$8))/(INDEX($D$5:$H$5,0,M$8+1)-INDEX($D$5:$H$5,0,M$8))+L87)))</f>
        <v>0</v>
      </c>
      <c r="N87" s="8">
        <f t="shared" si="36"/>
        <v>0</v>
      </c>
      <c r="O87" s="8">
        <f t="shared" si="36"/>
        <v>0</v>
      </c>
      <c r="P87" s="8">
        <f t="shared" si="36"/>
        <v>0</v>
      </c>
      <c r="Q87" s="8">
        <f t="shared" si="36"/>
        <v>0</v>
      </c>
      <c r="R87" s="8">
        <f t="shared" si="36"/>
        <v>0</v>
      </c>
      <c r="S87" s="8">
        <f t="shared" si="36"/>
        <v>0</v>
      </c>
      <c r="T87" s="8">
        <f t="shared" si="36"/>
        <v>0</v>
      </c>
      <c r="U87" s="8">
        <f t="shared" si="36"/>
        <v>0</v>
      </c>
      <c r="V87" s="8">
        <f t="shared" si="36"/>
        <v>0</v>
      </c>
      <c r="W87" s="8">
        <f t="shared" si="36"/>
        <v>0</v>
      </c>
      <c r="X87" s="8">
        <f t="shared" si="36"/>
        <v>0</v>
      </c>
      <c r="Y87" s="8">
        <f t="shared" si="36"/>
        <v>0</v>
      </c>
      <c r="Z87" s="8">
        <f t="shared" si="36"/>
        <v>0</v>
      </c>
      <c r="AA87" s="8">
        <f t="shared" si="36"/>
        <v>0</v>
      </c>
      <c r="AB87" s="8">
        <f t="shared" si="37"/>
        <v>0</v>
      </c>
      <c r="AC87" s="8">
        <f t="shared" si="37"/>
        <v>0</v>
      </c>
      <c r="AD87" s="8">
        <f t="shared" si="37"/>
        <v>0</v>
      </c>
      <c r="AE87" s="8">
        <f t="shared" si="37"/>
        <v>0</v>
      </c>
      <c r="AF87" s="8">
        <f t="shared" si="37"/>
        <v>0</v>
      </c>
      <c r="AG87" s="8">
        <f t="shared" si="37"/>
        <v>0</v>
      </c>
      <c r="AH87" s="8">
        <f t="shared" si="37"/>
        <v>0</v>
      </c>
      <c r="AI87" s="8">
        <f t="shared" si="37"/>
        <v>0</v>
      </c>
      <c r="AJ87" s="8">
        <f t="shared" si="37"/>
        <v>0</v>
      </c>
      <c r="AK87" s="8">
        <f t="shared" si="37"/>
        <v>0</v>
      </c>
      <c r="AL87" s="8">
        <f t="shared" si="37"/>
        <v>0</v>
      </c>
      <c r="AM87" s="8">
        <f t="shared" si="37"/>
        <v>0</v>
      </c>
      <c r="AN87" s="8">
        <f t="shared" si="37"/>
        <v>0</v>
      </c>
      <c r="AO87" s="8">
        <f t="shared" si="37"/>
        <v>0</v>
      </c>
      <c r="AP87" s="8">
        <f t="shared" si="37"/>
        <v>0</v>
      </c>
      <c r="AQ87" s="8">
        <f t="shared" si="37"/>
        <v>0</v>
      </c>
      <c r="AR87" s="8">
        <f t="shared" si="38"/>
        <v>0</v>
      </c>
      <c r="AS87" s="8">
        <f t="shared" si="38"/>
        <v>0</v>
      </c>
      <c r="AT87" s="8">
        <f t="shared" si="38"/>
        <v>0</v>
      </c>
      <c r="AU87" s="8">
        <f t="shared" si="38"/>
        <v>0</v>
      </c>
      <c r="AV87" s="8">
        <f t="shared" si="38"/>
        <v>0</v>
      </c>
    </row>
    <row r="88" spans="1:48">
      <c r="A88" s="185" t="s">
        <v>16</v>
      </c>
      <c r="B88" s="264" t="s">
        <v>255</v>
      </c>
      <c r="C88" s="107" t="str">
        <f t="shared" si="33"/>
        <v>Commercial - Public Water</v>
      </c>
      <c r="D88" s="107" t="s">
        <v>75</v>
      </c>
      <c r="E88" s="167">
        <f t="shared" si="39"/>
        <v>0</v>
      </c>
      <c r="F88" s="104">
        <f t="shared" si="39"/>
        <v>0</v>
      </c>
      <c r="G88" s="168">
        <f t="shared" si="34"/>
        <v>0</v>
      </c>
      <c r="H88" s="104">
        <f t="shared" si="40"/>
        <v>0</v>
      </c>
      <c r="I88" s="169">
        <f t="shared" si="35"/>
        <v>0</v>
      </c>
      <c r="J88" s="8">
        <f t="shared" si="41"/>
        <v>0</v>
      </c>
      <c r="K88" s="8">
        <f t="shared" si="41"/>
        <v>0</v>
      </c>
      <c r="L88" s="8">
        <f t="shared" si="36"/>
        <v>0</v>
      </c>
      <c r="M88" s="8">
        <f>IF(M$8=-1,N88,IF(M$8=99,L88,IF(M$8=0,INDEX($E88:$I88,0,M$6),(INDEX($E88:$I88,0,M$8+1)-INDEX($E88:$I88,0,M$8))/(INDEX($D$5:$H$5,0,M$8+1)-INDEX($D$5:$H$5,0,M$8))+L88)))</f>
        <v>0</v>
      </c>
      <c r="N88" s="8">
        <f t="shared" si="36"/>
        <v>0</v>
      </c>
      <c r="O88" s="8">
        <f t="shared" si="36"/>
        <v>0</v>
      </c>
      <c r="P88" s="8">
        <f t="shared" si="36"/>
        <v>0</v>
      </c>
      <c r="Q88" s="8">
        <f t="shared" si="36"/>
        <v>0</v>
      </c>
      <c r="R88" s="8">
        <f t="shared" si="36"/>
        <v>0</v>
      </c>
      <c r="S88" s="8">
        <f t="shared" si="36"/>
        <v>0</v>
      </c>
      <c r="T88" s="8">
        <f t="shared" si="36"/>
        <v>0</v>
      </c>
      <c r="U88" s="8">
        <f t="shared" si="36"/>
        <v>0</v>
      </c>
      <c r="V88" s="8">
        <f t="shared" si="36"/>
        <v>0</v>
      </c>
      <c r="W88" s="8">
        <f t="shared" si="36"/>
        <v>0</v>
      </c>
      <c r="X88" s="8">
        <f t="shared" si="36"/>
        <v>0</v>
      </c>
      <c r="Y88" s="8">
        <f t="shared" si="36"/>
        <v>0</v>
      </c>
      <c r="Z88" s="8">
        <f t="shared" si="36"/>
        <v>0</v>
      </c>
      <c r="AA88" s="8">
        <f t="shared" si="36"/>
        <v>0</v>
      </c>
      <c r="AB88" s="8">
        <f t="shared" si="37"/>
        <v>0</v>
      </c>
      <c r="AC88" s="8">
        <f t="shared" si="37"/>
        <v>0</v>
      </c>
      <c r="AD88" s="8">
        <f t="shared" si="37"/>
        <v>0</v>
      </c>
      <c r="AE88" s="8">
        <f t="shared" si="37"/>
        <v>0</v>
      </c>
      <c r="AF88" s="8">
        <f t="shared" si="37"/>
        <v>0</v>
      </c>
      <c r="AG88" s="8">
        <f t="shared" si="37"/>
        <v>0</v>
      </c>
      <c r="AH88" s="8">
        <f t="shared" si="37"/>
        <v>0</v>
      </c>
      <c r="AI88" s="8">
        <f t="shared" si="37"/>
        <v>0</v>
      </c>
      <c r="AJ88" s="8">
        <f t="shared" si="37"/>
        <v>0</v>
      </c>
      <c r="AK88" s="8">
        <f t="shared" si="37"/>
        <v>0</v>
      </c>
      <c r="AL88" s="8">
        <f t="shared" si="37"/>
        <v>0</v>
      </c>
      <c r="AM88" s="8">
        <f t="shared" si="37"/>
        <v>0</v>
      </c>
      <c r="AN88" s="8">
        <f t="shared" si="37"/>
        <v>0</v>
      </c>
      <c r="AO88" s="8">
        <f t="shared" si="37"/>
        <v>0</v>
      </c>
      <c r="AP88" s="8">
        <f t="shared" si="37"/>
        <v>0</v>
      </c>
      <c r="AQ88" s="8">
        <f t="shared" si="37"/>
        <v>0</v>
      </c>
      <c r="AR88" s="8">
        <f t="shared" si="38"/>
        <v>0</v>
      </c>
      <c r="AS88" s="8">
        <f t="shared" si="38"/>
        <v>0</v>
      </c>
      <c r="AT88" s="8">
        <f t="shared" si="38"/>
        <v>0</v>
      </c>
      <c r="AU88" s="8">
        <f t="shared" si="38"/>
        <v>0</v>
      </c>
      <c r="AV88" s="8">
        <f t="shared" si="38"/>
        <v>0</v>
      </c>
    </row>
    <row r="89" spans="1:48">
      <c r="A89" s="185" t="s">
        <v>16</v>
      </c>
      <c r="B89" s="264" t="s">
        <v>256</v>
      </c>
      <c r="C89" s="87" t="str">
        <f t="shared" si="33"/>
        <v>Commercial - Other</v>
      </c>
      <c r="D89" s="87" t="s">
        <v>75</v>
      </c>
      <c r="E89" s="96">
        <f t="shared" si="39"/>
        <v>141.24997285391134</v>
      </c>
      <c r="F89" s="104">
        <f t="shared" si="39"/>
        <v>122.21640392690337</v>
      </c>
      <c r="G89" s="104">
        <f t="shared" si="34"/>
        <v>122.21640392690337</v>
      </c>
      <c r="H89" s="104">
        <f t="shared" si="40"/>
        <v>122.21640392690337</v>
      </c>
      <c r="I89" s="150">
        <f t="shared" si="35"/>
        <v>122.21640392690337</v>
      </c>
      <c r="J89" s="8">
        <f t="shared" si="41"/>
        <v>141.24997285391134</v>
      </c>
      <c r="K89" s="8">
        <f t="shared" si="41"/>
        <v>137.44325906850975</v>
      </c>
      <c r="L89" s="8">
        <f t="shared" si="36"/>
        <v>133.63654528310815</v>
      </c>
      <c r="M89" s="8">
        <f>IF(M$8=-1,N89,IF(M$8=99,L89,IF(M$8=0,INDEX($E89:$I89,0,M$6),(INDEX($E89:$I89,0,M$8+1)-INDEX($E89:$I89,0,M$8))/(INDEX($D$5:$H$5,0,M$8+1)-INDEX($D$5:$H$5,0,M$8))+L89)))</f>
        <v>129.82983149770655</v>
      </c>
      <c r="N89" s="8">
        <f t="shared" si="36"/>
        <v>126.02311771230495</v>
      </c>
      <c r="O89" s="8">
        <f t="shared" si="36"/>
        <v>122.21640392690337</v>
      </c>
      <c r="P89" s="8">
        <f t="shared" si="36"/>
        <v>122.21640392690337</v>
      </c>
      <c r="Q89" s="8">
        <f t="shared" si="36"/>
        <v>122.21640392690337</v>
      </c>
      <c r="R89" s="8">
        <f t="shared" si="36"/>
        <v>122.21640392690337</v>
      </c>
      <c r="S89" s="8">
        <f t="shared" si="36"/>
        <v>122.21640392690337</v>
      </c>
      <c r="T89" s="8">
        <f t="shared" si="36"/>
        <v>122.21640392690337</v>
      </c>
      <c r="U89" s="8">
        <f t="shared" si="36"/>
        <v>122.21640392690337</v>
      </c>
      <c r="V89" s="8">
        <f t="shared" si="36"/>
        <v>122.21640392690337</v>
      </c>
      <c r="W89" s="8">
        <f t="shared" si="36"/>
        <v>122.21640392690337</v>
      </c>
      <c r="X89" s="8">
        <f t="shared" si="36"/>
        <v>122.21640392690337</v>
      </c>
      <c r="Y89" s="8">
        <f t="shared" si="36"/>
        <v>122.21640392690337</v>
      </c>
      <c r="Z89" s="8">
        <f t="shared" si="36"/>
        <v>122.21640392690337</v>
      </c>
      <c r="AA89" s="8">
        <f t="shared" si="36"/>
        <v>122.21640392690337</v>
      </c>
      <c r="AB89" s="8">
        <f t="shared" si="37"/>
        <v>122.21640392690337</v>
      </c>
      <c r="AC89" s="8">
        <f t="shared" si="37"/>
        <v>122.21640392690337</v>
      </c>
      <c r="AD89" s="8">
        <f t="shared" si="37"/>
        <v>122.21640392690337</v>
      </c>
      <c r="AE89" s="8">
        <f t="shared" si="37"/>
        <v>122.21640392690337</v>
      </c>
      <c r="AF89" s="8">
        <f t="shared" si="37"/>
        <v>122.21640392690337</v>
      </c>
      <c r="AG89" s="8">
        <f t="shared" si="37"/>
        <v>122.21640392690337</v>
      </c>
      <c r="AH89" s="8">
        <f t="shared" si="37"/>
        <v>122.21640392690337</v>
      </c>
      <c r="AI89" s="8">
        <f t="shared" si="37"/>
        <v>122.21640392690337</v>
      </c>
      <c r="AJ89" s="8">
        <f t="shared" si="37"/>
        <v>122.21640392690337</v>
      </c>
      <c r="AK89" s="8">
        <f t="shared" si="37"/>
        <v>122.21640392690337</v>
      </c>
      <c r="AL89" s="8">
        <f t="shared" si="37"/>
        <v>122.21640392690337</v>
      </c>
      <c r="AM89" s="8">
        <f t="shared" si="37"/>
        <v>122.21640392690337</v>
      </c>
      <c r="AN89" s="8">
        <f t="shared" si="37"/>
        <v>122.21640392690337</v>
      </c>
      <c r="AO89" s="8">
        <f t="shared" si="37"/>
        <v>122.21640392690337</v>
      </c>
      <c r="AP89" s="8">
        <f t="shared" si="37"/>
        <v>122.21640392690337</v>
      </c>
      <c r="AQ89" s="8">
        <f t="shared" si="37"/>
        <v>122.21640392690337</v>
      </c>
      <c r="AR89" s="8">
        <f t="shared" si="38"/>
        <v>122.21640392690337</v>
      </c>
      <c r="AS89" s="8">
        <f t="shared" si="38"/>
        <v>122.21640392690337</v>
      </c>
      <c r="AT89" s="8">
        <f t="shared" si="38"/>
        <v>122.21640392690337</v>
      </c>
      <c r="AU89" s="8">
        <f t="shared" si="38"/>
        <v>122.21640392690337</v>
      </c>
      <c r="AV89" s="8">
        <f t="shared" si="38"/>
        <v>122.21640392690337</v>
      </c>
    </row>
    <row r="90" spans="1:48">
      <c r="A90" s="185" t="s">
        <v>16</v>
      </c>
      <c r="B90" s="264"/>
      <c r="I90" s="151"/>
      <c r="K90" s="87"/>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row>
    <row r="91" spans="1:48" ht="15.75" thickBot="1">
      <c r="A91" s="185" t="s">
        <v>16</v>
      </c>
      <c r="B91" s="103" t="s">
        <v>485</v>
      </c>
      <c r="C91" s="84"/>
      <c r="D91" s="85"/>
      <c r="H91" s="175">
        <f>VLOOKUP($L$57,$K$59:$O$66,4)</f>
        <v>0</v>
      </c>
      <c r="I91" s="176">
        <f>VLOOKUP($L$57,$K$59:$O$66,5)</f>
        <v>0</v>
      </c>
      <c r="K91" s="87"/>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row>
    <row r="92" spans="1:48">
      <c r="A92" s="185" t="s">
        <v>16</v>
      </c>
      <c r="B92" s="264" t="str">
        <f>B70</f>
        <v>CEC</v>
      </c>
      <c r="C92" s="87" t="str">
        <f t="shared" ref="C92:C100" si="42">C81</f>
        <v>Commercial - Cooling</v>
      </c>
      <c r="D92" s="87" t="s">
        <v>75</v>
      </c>
      <c r="E92" s="96">
        <f>E81</f>
        <v>1051.567060091292</v>
      </c>
      <c r="F92" s="104">
        <f>F81</f>
        <v>864.77958996918915</v>
      </c>
      <c r="G92" s="104">
        <f t="shared" ref="G92:G100" si="43">F92</f>
        <v>864.77958996918915</v>
      </c>
      <c r="H92" s="104">
        <f t="shared" ref="H92:H97" si="44">G92*(1+$H$91)</f>
        <v>864.77958996918915</v>
      </c>
      <c r="I92" s="150">
        <f>H92</f>
        <v>864.77958996918915</v>
      </c>
      <c r="J92" s="8">
        <f>IF(J$8=-1,K92,IF(J$8=99,I92,IF(J$8=0,INDEX($E92:$I92,0,J$6),(INDEX($E92:$I92,0,J$8+1)-INDEX($E92:$I92,0,J$8))/(INDEX($D$5:$H$5,0,J$8+1)-INDEX($D$5:$H$5,0,J$8))+I92)))</f>
        <v>1051.567060091292</v>
      </c>
      <c r="K92" s="8">
        <f>IF(K$8=-1,L92,IF(K$8=99,J92,IF(K$8=0,INDEX($E92:$I92,0,K$6),(INDEX($E92:$I92,0,K$8+1)-INDEX($E92:$I92,0,K$8))/(INDEX($D$5:$H$5,0,K$8+1)-INDEX($D$5:$H$5,0,K$8))+J92)))</f>
        <v>1014.2095660668714</v>
      </c>
      <c r="L92" s="8">
        <f t="shared" ref="L92:AA100" si="45">IF(L$8=-1,M92,IF(L$8=99,K92,IF(L$8=0,INDEX($E92:$I92,0,L$6),(INDEX($E92:$I92,0,L$8+1)-INDEX($E92:$I92,0,L$8))/(INDEX($D$5:$H$5,0,L$8+1)-INDEX($D$5:$H$5,0,L$8))+K92)))</f>
        <v>976.8520720424508</v>
      </c>
      <c r="M92" s="8">
        <f t="shared" si="45"/>
        <v>939.49457801803021</v>
      </c>
      <c r="N92" s="8">
        <f t="shared" si="45"/>
        <v>902.13708399360962</v>
      </c>
      <c r="O92" s="8">
        <f t="shared" si="45"/>
        <v>864.77958996918915</v>
      </c>
      <c r="P92" s="8">
        <f t="shared" si="45"/>
        <v>864.77958996918915</v>
      </c>
      <c r="Q92" s="8">
        <f t="shared" si="45"/>
        <v>864.77958996918915</v>
      </c>
      <c r="R92" s="8">
        <f t="shared" si="45"/>
        <v>864.77958996918915</v>
      </c>
      <c r="S92" s="8">
        <f t="shared" si="45"/>
        <v>864.77958996918915</v>
      </c>
      <c r="T92" s="8">
        <f t="shared" si="45"/>
        <v>864.77958996918915</v>
      </c>
      <c r="U92" s="8">
        <f t="shared" si="45"/>
        <v>864.77958996918915</v>
      </c>
      <c r="V92" s="8">
        <f t="shared" si="45"/>
        <v>864.77958996918915</v>
      </c>
      <c r="W92" s="8">
        <f t="shared" si="45"/>
        <v>864.77958996918915</v>
      </c>
      <c r="X92" s="8">
        <f t="shared" si="45"/>
        <v>864.77958996918915</v>
      </c>
      <c r="Y92" s="8">
        <f t="shared" si="45"/>
        <v>864.77958996918915</v>
      </c>
      <c r="Z92" s="8">
        <f t="shared" si="45"/>
        <v>864.77958996918915</v>
      </c>
      <c r="AA92" s="8">
        <f t="shared" si="45"/>
        <v>864.77958996918915</v>
      </c>
      <c r="AB92" s="8">
        <f t="shared" ref="AB92:AQ100" si="46">IF(AB$8=-1,AC92,IF(AB$8=99,AA92,IF(AB$8=0,INDEX($E92:$I92,0,AB$6),(INDEX($E92:$I92,0,AB$8+1)-INDEX($E92:$I92,0,AB$8))/(INDEX($D$5:$H$5,0,AB$8+1)-INDEX($D$5:$H$5,0,AB$8))+AA92)))</f>
        <v>864.77958996918915</v>
      </c>
      <c r="AC92" s="8">
        <f t="shared" si="46"/>
        <v>864.77958996918915</v>
      </c>
      <c r="AD92" s="8">
        <f t="shared" si="46"/>
        <v>864.77958996918915</v>
      </c>
      <c r="AE92" s="8">
        <f t="shared" si="46"/>
        <v>864.77958996918915</v>
      </c>
      <c r="AF92" s="8">
        <f t="shared" si="46"/>
        <v>864.77958996918915</v>
      </c>
      <c r="AG92" s="8">
        <f t="shared" si="46"/>
        <v>864.77958996918915</v>
      </c>
      <c r="AH92" s="8">
        <f t="shared" si="46"/>
        <v>864.77958996918915</v>
      </c>
      <c r="AI92" s="8">
        <f t="shared" si="46"/>
        <v>864.77958996918915</v>
      </c>
      <c r="AJ92" s="8">
        <f t="shared" si="46"/>
        <v>864.77958996918915</v>
      </c>
      <c r="AK92" s="8">
        <f t="shared" si="46"/>
        <v>864.77958996918915</v>
      </c>
      <c r="AL92" s="8">
        <f t="shared" si="46"/>
        <v>864.77958996918915</v>
      </c>
      <c r="AM92" s="8">
        <f t="shared" si="46"/>
        <v>864.77958996918915</v>
      </c>
      <c r="AN92" s="8">
        <f t="shared" si="46"/>
        <v>864.77958996918915</v>
      </c>
      <c r="AO92" s="8">
        <f t="shared" si="46"/>
        <v>864.77958996918915</v>
      </c>
      <c r="AP92" s="8">
        <f t="shared" si="46"/>
        <v>864.77958996918915</v>
      </c>
      <c r="AQ92" s="8">
        <f t="shared" si="46"/>
        <v>864.77958996918915</v>
      </c>
      <c r="AR92" s="8">
        <f t="shared" ref="AR92:AV100" si="47">IF(AR$8=-1,AS92,IF(AR$8=99,AQ92,IF(AR$8=0,INDEX($E92:$I92,0,AR$6),(INDEX($E92:$I92,0,AR$8+1)-INDEX($E92:$I92,0,AR$8))/(INDEX($D$5:$H$5,0,AR$8+1)-INDEX($D$5:$H$5,0,AR$8))+AQ92)))</f>
        <v>864.77958996918915</v>
      </c>
      <c r="AS92" s="8">
        <f t="shared" si="47"/>
        <v>864.77958996918915</v>
      </c>
      <c r="AT92" s="8">
        <f t="shared" si="47"/>
        <v>864.77958996918915</v>
      </c>
      <c r="AU92" s="8">
        <f t="shared" si="47"/>
        <v>864.77958996918915</v>
      </c>
      <c r="AV92" s="8">
        <f t="shared" si="47"/>
        <v>864.77958996918915</v>
      </c>
    </row>
    <row r="93" spans="1:48">
      <c r="A93" s="185" t="s">
        <v>16</v>
      </c>
      <c r="B93" s="264" t="str">
        <f t="shared" ref="B93:B100" si="48">B71</f>
        <v>CEH</v>
      </c>
      <c r="C93" s="87" t="str">
        <f t="shared" si="42"/>
        <v>Commercial - Space Heating</v>
      </c>
      <c r="D93" s="87" t="s">
        <v>75</v>
      </c>
      <c r="E93" s="96">
        <f t="shared" ref="E93:F100" si="49">E82</f>
        <v>59.117764859369188</v>
      </c>
      <c r="F93" s="104">
        <f t="shared" si="49"/>
        <v>82.470862832548889</v>
      </c>
      <c r="G93" s="104">
        <f t="shared" si="43"/>
        <v>82.470862832548889</v>
      </c>
      <c r="H93" s="104">
        <f t="shared" si="44"/>
        <v>82.470862832548889</v>
      </c>
      <c r="I93" s="150">
        <f t="shared" ref="I93:I100" si="50">H93</f>
        <v>82.470862832548889</v>
      </c>
      <c r="J93" s="8">
        <f t="shared" ref="J93:K100" si="51">IF(J$8=-1,K93,IF(J$8=99,I93,IF(J$8=0,INDEX($E93:$I93,0,J$6),(INDEX($E93:$I93,0,J$8+1)-INDEX($E93:$I93,0,J$8))/(INDEX($D$5:$H$5,0,J$8+1)-INDEX($D$5:$H$5,0,J$8))+I93)))</f>
        <v>59.117764859369188</v>
      </c>
      <c r="K93" s="8">
        <f t="shared" si="51"/>
        <v>63.788384454005126</v>
      </c>
      <c r="L93" s="8">
        <f t="shared" si="45"/>
        <v>68.459004048641063</v>
      </c>
      <c r="M93" s="8">
        <f t="shared" si="45"/>
        <v>73.129623643277</v>
      </c>
      <c r="N93" s="8">
        <f t="shared" si="45"/>
        <v>77.800243237912937</v>
      </c>
      <c r="O93" s="8">
        <f t="shared" si="45"/>
        <v>82.470862832548889</v>
      </c>
      <c r="P93" s="8">
        <f t="shared" si="45"/>
        <v>82.470862832548889</v>
      </c>
      <c r="Q93" s="8">
        <f t="shared" si="45"/>
        <v>82.470862832548889</v>
      </c>
      <c r="R93" s="8">
        <f t="shared" si="45"/>
        <v>82.470862832548889</v>
      </c>
      <c r="S93" s="8">
        <f t="shared" si="45"/>
        <v>82.470862832548889</v>
      </c>
      <c r="T93" s="8">
        <f t="shared" si="45"/>
        <v>82.470862832548889</v>
      </c>
      <c r="U93" s="8">
        <f t="shared" si="45"/>
        <v>82.470862832548889</v>
      </c>
      <c r="V93" s="8">
        <f t="shared" si="45"/>
        <v>82.470862832548889</v>
      </c>
      <c r="W93" s="8">
        <f t="shared" si="45"/>
        <v>82.470862832548889</v>
      </c>
      <c r="X93" s="8">
        <f t="shared" si="45"/>
        <v>82.470862832548889</v>
      </c>
      <c r="Y93" s="8">
        <f t="shared" si="45"/>
        <v>82.470862832548889</v>
      </c>
      <c r="Z93" s="8">
        <f t="shared" si="45"/>
        <v>82.470862832548889</v>
      </c>
      <c r="AA93" s="8">
        <f t="shared" si="45"/>
        <v>82.470862832548889</v>
      </c>
      <c r="AB93" s="8">
        <f t="shared" si="46"/>
        <v>82.470862832548889</v>
      </c>
      <c r="AC93" s="8">
        <f t="shared" si="46"/>
        <v>82.470862832548889</v>
      </c>
      <c r="AD93" s="8">
        <f t="shared" si="46"/>
        <v>82.470862832548889</v>
      </c>
      <c r="AE93" s="8">
        <f t="shared" si="46"/>
        <v>82.470862832548889</v>
      </c>
      <c r="AF93" s="8">
        <f t="shared" si="46"/>
        <v>82.470862832548889</v>
      </c>
      <c r="AG93" s="8">
        <f t="shared" si="46"/>
        <v>82.470862832548889</v>
      </c>
      <c r="AH93" s="8">
        <f t="shared" si="46"/>
        <v>82.470862832548889</v>
      </c>
      <c r="AI93" s="8">
        <f t="shared" si="46"/>
        <v>82.470862832548889</v>
      </c>
      <c r="AJ93" s="8">
        <f t="shared" si="46"/>
        <v>82.470862832548889</v>
      </c>
      <c r="AK93" s="8">
        <f t="shared" si="46"/>
        <v>82.470862832548889</v>
      </c>
      <c r="AL93" s="8">
        <f t="shared" si="46"/>
        <v>82.470862832548889</v>
      </c>
      <c r="AM93" s="8">
        <f t="shared" si="46"/>
        <v>82.470862832548889</v>
      </c>
      <c r="AN93" s="8">
        <f t="shared" si="46"/>
        <v>82.470862832548889</v>
      </c>
      <c r="AO93" s="8">
        <f t="shared" si="46"/>
        <v>82.470862832548889</v>
      </c>
      <c r="AP93" s="8">
        <f t="shared" si="46"/>
        <v>82.470862832548889</v>
      </c>
      <c r="AQ93" s="8">
        <f t="shared" si="46"/>
        <v>82.470862832548889</v>
      </c>
      <c r="AR93" s="8">
        <f t="shared" si="47"/>
        <v>82.470862832548889</v>
      </c>
      <c r="AS93" s="8">
        <f t="shared" si="47"/>
        <v>82.470862832548889</v>
      </c>
      <c r="AT93" s="8">
        <f t="shared" si="47"/>
        <v>82.470862832548889</v>
      </c>
      <c r="AU93" s="8">
        <f t="shared" si="47"/>
        <v>82.470862832548889</v>
      </c>
      <c r="AV93" s="8">
        <f t="shared" si="47"/>
        <v>82.470862832548889</v>
      </c>
    </row>
    <row r="94" spans="1:48">
      <c r="A94" s="185" t="s">
        <v>16</v>
      </c>
      <c r="B94" s="264" t="str">
        <f t="shared" si="48"/>
        <v>CEK</v>
      </c>
      <c r="C94" s="87" t="str">
        <f t="shared" si="42"/>
        <v>Commercial - Cooking</v>
      </c>
      <c r="D94" s="87" t="s">
        <v>75</v>
      </c>
      <c r="E94" s="96">
        <f t="shared" si="49"/>
        <v>74.498085701673531</v>
      </c>
      <c r="F94" s="104">
        <f t="shared" si="49"/>
        <v>61.683981193944355</v>
      </c>
      <c r="G94" s="104">
        <f t="shared" si="43"/>
        <v>61.683981193944355</v>
      </c>
      <c r="H94" s="104">
        <f t="shared" si="44"/>
        <v>61.683981193944355</v>
      </c>
      <c r="I94" s="150">
        <f t="shared" si="50"/>
        <v>61.683981193944355</v>
      </c>
      <c r="J94" s="8">
        <f t="shared" si="51"/>
        <v>74.498085701673531</v>
      </c>
      <c r="K94" s="8">
        <f t="shared" si="51"/>
        <v>71.935264800127698</v>
      </c>
      <c r="L94" s="8">
        <f t="shared" si="45"/>
        <v>69.372443898581864</v>
      </c>
      <c r="M94" s="8">
        <f t="shared" si="45"/>
        <v>66.80962299703603</v>
      </c>
      <c r="N94" s="8">
        <f t="shared" si="45"/>
        <v>64.246802095490196</v>
      </c>
      <c r="O94" s="8">
        <f t="shared" si="45"/>
        <v>61.683981193944355</v>
      </c>
      <c r="P94" s="8">
        <f t="shared" si="45"/>
        <v>61.683981193944355</v>
      </c>
      <c r="Q94" s="8">
        <f t="shared" si="45"/>
        <v>61.683981193944355</v>
      </c>
      <c r="R94" s="8">
        <f t="shared" si="45"/>
        <v>61.683981193944355</v>
      </c>
      <c r="S94" s="8">
        <f t="shared" si="45"/>
        <v>61.683981193944355</v>
      </c>
      <c r="T94" s="8">
        <f t="shared" si="45"/>
        <v>61.683981193944355</v>
      </c>
      <c r="U94" s="8">
        <f t="shared" si="45"/>
        <v>61.683981193944355</v>
      </c>
      <c r="V94" s="8">
        <f t="shared" si="45"/>
        <v>61.683981193944355</v>
      </c>
      <c r="W94" s="8">
        <f t="shared" si="45"/>
        <v>61.683981193944355</v>
      </c>
      <c r="X94" s="8">
        <f t="shared" si="45"/>
        <v>61.683981193944355</v>
      </c>
      <c r="Y94" s="8">
        <f t="shared" si="45"/>
        <v>61.683981193944355</v>
      </c>
      <c r="Z94" s="8">
        <f t="shared" si="45"/>
        <v>61.683981193944355</v>
      </c>
      <c r="AA94" s="8">
        <f t="shared" si="45"/>
        <v>61.683981193944355</v>
      </c>
      <c r="AB94" s="8">
        <f t="shared" si="46"/>
        <v>61.683981193944355</v>
      </c>
      <c r="AC94" s="8">
        <f t="shared" si="46"/>
        <v>61.683981193944355</v>
      </c>
      <c r="AD94" s="8">
        <f t="shared" si="46"/>
        <v>61.683981193944355</v>
      </c>
      <c r="AE94" s="8">
        <f t="shared" si="46"/>
        <v>61.683981193944355</v>
      </c>
      <c r="AF94" s="8">
        <f t="shared" si="46"/>
        <v>61.683981193944355</v>
      </c>
      <c r="AG94" s="8">
        <f t="shared" si="46"/>
        <v>61.683981193944355</v>
      </c>
      <c r="AH94" s="8">
        <f t="shared" si="46"/>
        <v>61.683981193944355</v>
      </c>
      <c r="AI94" s="8">
        <f t="shared" si="46"/>
        <v>61.683981193944355</v>
      </c>
      <c r="AJ94" s="8">
        <f t="shared" si="46"/>
        <v>61.683981193944355</v>
      </c>
      <c r="AK94" s="8">
        <f t="shared" si="46"/>
        <v>61.683981193944355</v>
      </c>
      <c r="AL94" s="8">
        <f t="shared" si="46"/>
        <v>61.683981193944355</v>
      </c>
      <c r="AM94" s="8">
        <f t="shared" si="46"/>
        <v>61.683981193944355</v>
      </c>
      <c r="AN94" s="8">
        <f t="shared" si="46"/>
        <v>61.683981193944355</v>
      </c>
      <c r="AO94" s="8">
        <f t="shared" si="46"/>
        <v>61.683981193944355</v>
      </c>
      <c r="AP94" s="8">
        <f t="shared" si="46"/>
        <v>61.683981193944355</v>
      </c>
      <c r="AQ94" s="8">
        <f t="shared" si="46"/>
        <v>61.683981193944355</v>
      </c>
      <c r="AR94" s="8">
        <f t="shared" si="47"/>
        <v>61.683981193944355</v>
      </c>
      <c r="AS94" s="8">
        <f t="shared" si="47"/>
        <v>61.683981193944355</v>
      </c>
      <c r="AT94" s="8">
        <f t="shared" si="47"/>
        <v>61.683981193944355</v>
      </c>
      <c r="AU94" s="8">
        <f t="shared" si="47"/>
        <v>61.683981193944355</v>
      </c>
      <c r="AV94" s="8">
        <f t="shared" si="47"/>
        <v>61.683981193944355</v>
      </c>
    </row>
    <row r="95" spans="1:48">
      <c r="A95" s="185" t="s">
        <v>16</v>
      </c>
      <c r="B95" s="264" t="str">
        <f t="shared" si="48"/>
        <v>CEL</v>
      </c>
      <c r="C95" s="87" t="str">
        <f t="shared" si="42"/>
        <v>Commercial - Lighting</v>
      </c>
      <c r="D95" s="87" t="s">
        <v>75</v>
      </c>
      <c r="E95" s="96">
        <f t="shared" si="49"/>
        <v>915.10615144128838</v>
      </c>
      <c r="F95" s="104">
        <f t="shared" si="49"/>
        <v>752.55792279474565</v>
      </c>
      <c r="G95" s="104">
        <f t="shared" si="43"/>
        <v>752.55792279474565</v>
      </c>
      <c r="H95" s="104">
        <f t="shared" si="44"/>
        <v>752.55792279474565</v>
      </c>
      <c r="I95" s="150">
        <f t="shared" si="50"/>
        <v>752.55792279474565</v>
      </c>
      <c r="J95" s="8">
        <f t="shared" si="51"/>
        <v>915.10615144128838</v>
      </c>
      <c r="K95" s="8">
        <f t="shared" si="51"/>
        <v>882.59650571197983</v>
      </c>
      <c r="L95" s="8">
        <f t="shared" si="45"/>
        <v>850.08685998267129</v>
      </c>
      <c r="M95" s="8">
        <f t="shared" si="45"/>
        <v>817.57721425336274</v>
      </c>
      <c r="N95" s="8">
        <f t="shared" si="45"/>
        <v>785.0675685240542</v>
      </c>
      <c r="O95" s="8">
        <f t="shared" si="45"/>
        <v>752.55792279474565</v>
      </c>
      <c r="P95" s="8">
        <f t="shared" si="45"/>
        <v>752.55792279474565</v>
      </c>
      <c r="Q95" s="8">
        <f t="shared" si="45"/>
        <v>752.55792279474565</v>
      </c>
      <c r="R95" s="8">
        <f t="shared" si="45"/>
        <v>752.55792279474565</v>
      </c>
      <c r="S95" s="8">
        <f t="shared" si="45"/>
        <v>752.55792279474565</v>
      </c>
      <c r="T95" s="8">
        <f t="shared" si="45"/>
        <v>752.55792279474565</v>
      </c>
      <c r="U95" s="8">
        <f t="shared" si="45"/>
        <v>752.55792279474565</v>
      </c>
      <c r="V95" s="8">
        <f t="shared" si="45"/>
        <v>752.55792279474565</v>
      </c>
      <c r="W95" s="8">
        <f t="shared" si="45"/>
        <v>752.55792279474565</v>
      </c>
      <c r="X95" s="8">
        <f t="shared" si="45"/>
        <v>752.55792279474565</v>
      </c>
      <c r="Y95" s="8">
        <f t="shared" si="45"/>
        <v>752.55792279474565</v>
      </c>
      <c r="Z95" s="8">
        <f t="shared" si="45"/>
        <v>752.55792279474565</v>
      </c>
      <c r="AA95" s="8">
        <f t="shared" si="45"/>
        <v>752.55792279474565</v>
      </c>
      <c r="AB95" s="8">
        <f t="shared" si="46"/>
        <v>752.55792279474565</v>
      </c>
      <c r="AC95" s="8">
        <f t="shared" si="46"/>
        <v>752.55792279474565</v>
      </c>
      <c r="AD95" s="8">
        <f t="shared" si="46"/>
        <v>752.55792279474565</v>
      </c>
      <c r="AE95" s="8">
        <f t="shared" si="46"/>
        <v>752.55792279474565</v>
      </c>
      <c r="AF95" s="8">
        <f t="shared" si="46"/>
        <v>752.55792279474565</v>
      </c>
      <c r="AG95" s="8">
        <f t="shared" si="46"/>
        <v>752.55792279474565</v>
      </c>
      <c r="AH95" s="8">
        <f t="shared" si="46"/>
        <v>752.55792279474565</v>
      </c>
      <c r="AI95" s="8">
        <f t="shared" si="46"/>
        <v>752.55792279474565</v>
      </c>
      <c r="AJ95" s="8">
        <f t="shared" si="46"/>
        <v>752.55792279474565</v>
      </c>
      <c r="AK95" s="8">
        <f t="shared" si="46"/>
        <v>752.55792279474565</v>
      </c>
      <c r="AL95" s="8">
        <f t="shared" si="46"/>
        <v>752.55792279474565</v>
      </c>
      <c r="AM95" s="8">
        <f t="shared" si="46"/>
        <v>752.55792279474565</v>
      </c>
      <c r="AN95" s="8">
        <f t="shared" si="46"/>
        <v>752.55792279474565</v>
      </c>
      <c r="AO95" s="8">
        <f t="shared" si="46"/>
        <v>752.55792279474565</v>
      </c>
      <c r="AP95" s="8">
        <f t="shared" si="46"/>
        <v>752.55792279474565</v>
      </c>
      <c r="AQ95" s="8">
        <f t="shared" si="46"/>
        <v>752.55792279474565</v>
      </c>
      <c r="AR95" s="8">
        <f t="shared" si="47"/>
        <v>752.55792279474565</v>
      </c>
      <c r="AS95" s="8">
        <f t="shared" si="47"/>
        <v>752.55792279474565</v>
      </c>
      <c r="AT95" s="8">
        <f t="shared" si="47"/>
        <v>752.55792279474565</v>
      </c>
      <c r="AU95" s="8">
        <f t="shared" si="47"/>
        <v>752.55792279474565</v>
      </c>
      <c r="AV95" s="8">
        <f t="shared" si="47"/>
        <v>752.55792279474565</v>
      </c>
    </row>
    <row r="96" spans="1:48">
      <c r="A96" s="185" t="s">
        <v>16</v>
      </c>
      <c r="B96" s="264" t="str">
        <f t="shared" si="48"/>
        <v>CER</v>
      </c>
      <c r="C96" s="87" t="str">
        <f t="shared" si="42"/>
        <v>Commercial - Refrigeration</v>
      </c>
      <c r="D96" s="87" t="s">
        <v>75</v>
      </c>
      <c r="E96" s="96">
        <f t="shared" si="49"/>
        <v>222.61251585750318</v>
      </c>
      <c r="F96" s="104">
        <f t="shared" si="49"/>
        <v>183.07035993362933</v>
      </c>
      <c r="G96" s="104">
        <f t="shared" si="43"/>
        <v>183.07035993362933</v>
      </c>
      <c r="H96" s="104">
        <f t="shared" si="44"/>
        <v>183.07035993362933</v>
      </c>
      <c r="I96" s="150">
        <f t="shared" si="50"/>
        <v>183.07035993362933</v>
      </c>
      <c r="J96" s="8">
        <f t="shared" si="51"/>
        <v>222.61251585750318</v>
      </c>
      <c r="K96" s="8">
        <f t="shared" si="51"/>
        <v>214.70408467272841</v>
      </c>
      <c r="L96" s="8">
        <f t="shared" si="45"/>
        <v>206.79565348795364</v>
      </c>
      <c r="M96" s="8">
        <f t="shared" si="45"/>
        <v>198.88722230317887</v>
      </c>
      <c r="N96" s="8">
        <f t="shared" si="45"/>
        <v>190.9787911184041</v>
      </c>
      <c r="O96" s="8">
        <f t="shared" si="45"/>
        <v>183.07035993362933</v>
      </c>
      <c r="P96" s="8">
        <f t="shared" si="45"/>
        <v>183.07035993362933</v>
      </c>
      <c r="Q96" s="8">
        <f t="shared" si="45"/>
        <v>183.07035993362933</v>
      </c>
      <c r="R96" s="8">
        <f t="shared" si="45"/>
        <v>183.07035993362933</v>
      </c>
      <c r="S96" s="8">
        <f t="shared" si="45"/>
        <v>183.07035993362933</v>
      </c>
      <c r="T96" s="8">
        <f t="shared" si="45"/>
        <v>183.07035993362933</v>
      </c>
      <c r="U96" s="8">
        <f t="shared" si="45"/>
        <v>183.07035993362933</v>
      </c>
      <c r="V96" s="8">
        <f t="shared" si="45"/>
        <v>183.07035993362933</v>
      </c>
      <c r="W96" s="8">
        <f t="shared" si="45"/>
        <v>183.07035993362933</v>
      </c>
      <c r="X96" s="8">
        <f t="shared" si="45"/>
        <v>183.07035993362933</v>
      </c>
      <c r="Y96" s="8">
        <f t="shared" si="45"/>
        <v>183.07035993362933</v>
      </c>
      <c r="Z96" s="8">
        <f t="shared" si="45"/>
        <v>183.07035993362933</v>
      </c>
      <c r="AA96" s="8">
        <f t="shared" si="45"/>
        <v>183.07035993362933</v>
      </c>
      <c r="AB96" s="8">
        <f t="shared" si="46"/>
        <v>183.07035993362933</v>
      </c>
      <c r="AC96" s="8">
        <f t="shared" si="46"/>
        <v>183.07035993362933</v>
      </c>
      <c r="AD96" s="8">
        <f t="shared" si="46"/>
        <v>183.07035993362933</v>
      </c>
      <c r="AE96" s="8">
        <f t="shared" si="46"/>
        <v>183.07035993362933</v>
      </c>
      <c r="AF96" s="8">
        <f t="shared" si="46"/>
        <v>183.07035993362933</v>
      </c>
      <c r="AG96" s="8">
        <f t="shared" si="46"/>
        <v>183.07035993362933</v>
      </c>
      <c r="AH96" s="8">
        <f t="shared" si="46"/>
        <v>183.07035993362933</v>
      </c>
      <c r="AI96" s="8">
        <f t="shared" si="46"/>
        <v>183.07035993362933</v>
      </c>
      <c r="AJ96" s="8">
        <f t="shared" si="46"/>
        <v>183.07035993362933</v>
      </c>
      <c r="AK96" s="8">
        <f t="shared" si="46"/>
        <v>183.07035993362933</v>
      </c>
      <c r="AL96" s="8">
        <f t="shared" si="46"/>
        <v>183.07035993362933</v>
      </c>
      <c r="AM96" s="8">
        <f t="shared" si="46"/>
        <v>183.07035993362933</v>
      </c>
      <c r="AN96" s="8">
        <f t="shared" si="46"/>
        <v>183.07035993362933</v>
      </c>
      <c r="AO96" s="8">
        <f t="shared" si="46"/>
        <v>183.07035993362933</v>
      </c>
      <c r="AP96" s="8">
        <f t="shared" si="46"/>
        <v>183.07035993362933</v>
      </c>
      <c r="AQ96" s="8">
        <f t="shared" si="46"/>
        <v>183.07035993362933</v>
      </c>
      <c r="AR96" s="8">
        <f t="shared" si="47"/>
        <v>183.07035993362933</v>
      </c>
      <c r="AS96" s="8">
        <f t="shared" si="47"/>
        <v>183.07035993362933</v>
      </c>
      <c r="AT96" s="8">
        <f t="shared" si="47"/>
        <v>183.07035993362933</v>
      </c>
      <c r="AU96" s="8">
        <f t="shared" si="47"/>
        <v>183.07035993362933</v>
      </c>
      <c r="AV96" s="8">
        <f t="shared" si="47"/>
        <v>183.07035993362933</v>
      </c>
    </row>
    <row r="97" spans="1:50">
      <c r="A97" s="185" t="s">
        <v>16</v>
      </c>
      <c r="B97" s="264" t="str">
        <f t="shared" si="48"/>
        <v>CEW</v>
      </c>
      <c r="C97" s="87" t="str">
        <f t="shared" si="42"/>
        <v>Commercial - Water Heating</v>
      </c>
      <c r="D97" s="87" t="s">
        <v>75</v>
      </c>
      <c r="E97" s="96">
        <f t="shared" si="49"/>
        <v>72.906473658117989</v>
      </c>
      <c r="F97" s="104">
        <f t="shared" si="49"/>
        <v>95.432706346388613</v>
      </c>
      <c r="G97" s="104">
        <f t="shared" si="43"/>
        <v>95.432706346388613</v>
      </c>
      <c r="H97" s="104">
        <f t="shared" si="44"/>
        <v>95.432706346388613</v>
      </c>
      <c r="I97" s="150">
        <f t="shared" si="50"/>
        <v>95.432706346388613</v>
      </c>
      <c r="J97" s="8">
        <f t="shared" si="51"/>
        <v>72.906473658117989</v>
      </c>
      <c r="K97" s="8">
        <f t="shared" si="51"/>
        <v>77.411720195772119</v>
      </c>
      <c r="L97" s="8">
        <f t="shared" si="45"/>
        <v>81.91696673342625</v>
      </c>
      <c r="M97" s="8">
        <f t="shared" si="45"/>
        <v>86.422213271080381</v>
      </c>
      <c r="N97" s="8">
        <f t="shared" si="45"/>
        <v>90.927459808734511</v>
      </c>
      <c r="O97" s="8">
        <f t="shared" si="45"/>
        <v>95.432706346388613</v>
      </c>
      <c r="P97" s="8">
        <f t="shared" si="45"/>
        <v>95.432706346388613</v>
      </c>
      <c r="Q97" s="8">
        <f t="shared" si="45"/>
        <v>95.432706346388613</v>
      </c>
      <c r="R97" s="8">
        <f t="shared" si="45"/>
        <v>95.432706346388613</v>
      </c>
      <c r="S97" s="8">
        <f t="shared" si="45"/>
        <v>95.432706346388613</v>
      </c>
      <c r="T97" s="8">
        <f t="shared" si="45"/>
        <v>95.432706346388613</v>
      </c>
      <c r="U97" s="8">
        <f t="shared" si="45"/>
        <v>95.432706346388613</v>
      </c>
      <c r="V97" s="8">
        <f t="shared" si="45"/>
        <v>95.432706346388613</v>
      </c>
      <c r="W97" s="8">
        <f t="shared" si="45"/>
        <v>95.432706346388613</v>
      </c>
      <c r="X97" s="8">
        <f t="shared" si="45"/>
        <v>95.432706346388613</v>
      </c>
      <c r="Y97" s="8">
        <f t="shared" si="45"/>
        <v>95.432706346388613</v>
      </c>
      <c r="Z97" s="8">
        <f t="shared" si="45"/>
        <v>95.432706346388613</v>
      </c>
      <c r="AA97" s="8">
        <f t="shared" si="45"/>
        <v>95.432706346388613</v>
      </c>
      <c r="AB97" s="8">
        <f t="shared" si="46"/>
        <v>95.432706346388613</v>
      </c>
      <c r="AC97" s="8">
        <f t="shared" si="46"/>
        <v>95.432706346388613</v>
      </c>
      <c r="AD97" s="8">
        <f t="shared" si="46"/>
        <v>95.432706346388613</v>
      </c>
      <c r="AE97" s="8">
        <f t="shared" si="46"/>
        <v>95.432706346388613</v>
      </c>
      <c r="AF97" s="8">
        <f t="shared" si="46"/>
        <v>95.432706346388613</v>
      </c>
      <c r="AG97" s="8">
        <f t="shared" si="46"/>
        <v>95.432706346388613</v>
      </c>
      <c r="AH97" s="8">
        <f t="shared" si="46"/>
        <v>95.432706346388613</v>
      </c>
      <c r="AI97" s="8">
        <f t="shared" si="46"/>
        <v>95.432706346388613</v>
      </c>
      <c r="AJ97" s="8">
        <f t="shared" si="46"/>
        <v>95.432706346388613</v>
      </c>
      <c r="AK97" s="8">
        <f t="shared" si="46"/>
        <v>95.432706346388613</v>
      </c>
      <c r="AL97" s="8">
        <f t="shared" si="46"/>
        <v>95.432706346388613</v>
      </c>
      <c r="AM97" s="8">
        <f t="shared" si="46"/>
        <v>95.432706346388613</v>
      </c>
      <c r="AN97" s="8">
        <f t="shared" si="46"/>
        <v>95.432706346388613</v>
      </c>
      <c r="AO97" s="8">
        <f t="shared" si="46"/>
        <v>95.432706346388613</v>
      </c>
      <c r="AP97" s="8">
        <f t="shared" si="46"/>
        <v>95.432706346388613</v>
      </c>
      <c r="AQ97" s="8">
        <f t="shared" si="46"/>
        <v>95.432706346388613</v>
      </c>
      <c r="AR97" s="8">
        <f t="shared" si="47"/>
        <v>95.432706346388613</v>
      </c>
      <c r="AS97" s="8">
        <f t="shared" si="47"/>
        <v>95.432706346388613</v>
      </c>
      <c r="AT97" s="8">
        <f t="shared" si="47"/>
        <v>95.432706346388613</v>
      </c>
      <c r="AU97" s="8">
        <f t="shared" si="47"/>
        <v>95.432706346388613</v>
      </c>
      <c r="AV97" s="8">
        <f t="shared" si="47"/>
        <v>95.432706346388613</v>
      </c>
    </row>
    <row r="98" spans="1:50">
      <c r="A98" s="185" t="s">
        <v>16</v>
      </c>
      <c r="B98" s="264" t="str">
        <f t="shared" si="48"/>
        <v>CEG</v>
      </c>
      <c r="C98" s="107" t="str">
        <f t="shared" si="42"/>
        <v>Commercial - Public lights</v>
      </c>
      <c r="D98" s="107" t="s">
        <v>75</v>
      </c>
      <c r="E98" s="173">
        <f>D62/$J$34</f>
        <v>387.77678995775307</v>
      </c>
      <c r="F98" s="173">
        <f>E62/$O$34</f>
        <v>318.89687890197069</v>
      </c>
      <c r="G98" s="168">
        <f t="shared" si="43"/>
        <v>318.89687890197069</v>
      </c>
      <c r="H98" s="168">
        <f>G98*(1+$I$91)</f>
        <v>318.89687890197069</v>
      </c>
      <c r="I98" s="169">
        <f t="shared" si="50"/>
        <v>318.89687890197069</v>
      </c>
      <c r="J98" s="8">
        <f t="shared" si="51"/>
        <v>387.77678995775307</v>
      </c>
      <c r="K98" s="8">
        <f t="shared" si="51"/>
        <v>374.00080774659659</v>
      </c>
      <c r="L98" s="8">
        <f t="shared" si="45"/>
        <v>360.22482553544012</v>
      </c>
      <c r="M98" s="8">
        <f>IF(M$8=-1,N98,IF(M$8=99,L98,IF(M$8=0,INDEX($E98:$I98,0,M$6),(INDEX($E98:$I98,0,M$8+1)-INDEX($E98:$I98,0,M$8))/(INDEX($D$5:$H$5,0,M$8+1)-INDEX($D$5:$H$5,0,M$8))+L98)))</f>
        <v>346.44884332428364</v>
      </c>
      <c r="N98" s="8">
        <f t="shared" si="45"/>
        <v>332.67286111312717</v>
      </c>
      <c r="O98" s="8">
        <f t="shared" si="45"/>
        <v>318.89687890197069</v>
      </c>
      <c r="P98" s="8">
        <f t="shared" si="45"/>
        <v>318.89687890197069</v>
      </c>
      <c r="Q98" s="8">
        <f t="shared" si="45"/>
        <v>318.89687890197069</v>
      </c>
      <c r="R98" s="8">
        <f t="shared" si="45"/>
        <v>318.89687890197069</v>
      </c>
      <c r="S98" s="8">
        <f t="shared" si="45"/>
        <v>318.89687890197069</v>
      </c>
      <c r="T98" s="8">
        <f t="shared" si="45"/>
        <v>318.89687890197069</v>
      </c>
      <c r="U98" s="8">
        <f t="shared" si="45"/>
        <v>318.89687890197069</v>
      </c>
      <c r="V98" s="8">
        <f t="shared" si="45"/>
        <v>318.89687890197069</v>
      </c>
      <c r="W98" s="8">
        <f t="shared" si="45"/>
        <v>318.89687890197069</v>
      </c>
      <c r="X98" s="8">
        <f t="shared" si="45"/>
        <v>318.89687890197069</v>
      </c>
      <c r="Y98" s="8">
        <f t="shared" si="45"/>
        <v>318.89687890197069</v>
      </c>
      <c r="Z98" s="8">
        <f t="shared" si="45"/>
        <v>318.89687890197069</v>
      </c>
      <c r="AA98" s="8">
        <f t="shared" si="45"/>
        <v>318.89687890197069</v>
      </c>
      <c r="AB98" s="8">
        <f t="shared" si="46"/>
        <v>318.89687890197069</v>
      </c>
      <c r="AC98" s="8">
        <f t="shared" si="46"/>
        <v>318.89687890197069</v>
      </c>
      <c r="AD98" s="8">
        <f t="shared" si="46"/>
        <v>318.89687890197069</v>
      </c>
      <c r="AE98" s="8">
        <f t="shared" si="46"/>
        <v>318.89687890197069</v>
      </c>
      <c r="AF98" s="8">
        <f t="shared" si="46"/>
        <v>318.89687890197069</v>
      </c>
      <c r="AG98" s="8">
        <f t="shared" si="46"/>
        <v>318.89687890197069</v>
      </c>
      <c r="AH98" s="8">
        <f t="shared" si="46"/>
        <v>318.89687890197069</v>
      </c>
      <c r="AI98" s="8">
        <f t="shared" si="46"/>
        <v>318.89687890197069</v>
      </c>
      <c r="AJ98" s="8">
        <f t="shared" si="46"/>
        <v>318.89687890197069</v>
      </c>
      <c r="AK98" s="8">
        <f t="shared" si="46"/>
        <v>318.89687890197069</v>
      </c>
      <c r="AL98" s="8">
        <f t="shared" si="46"/>
        <v>318.89687890197069</v>
      </c>
      <c r="AM98" s="8">
        <f t="shared" si="46"/>
        <v>318.89687890197069</v>
      </c>
      <c r="AN98" s="8">
        <f t="shared" si="46"/>
        <v>318.89687890197069</v>
      </c>
      <c r="AO98" s="8">
        <f t="shared" si="46"/>
        <v>318.89687890197069</v>
      </c>
      <c r="AP98" s="8">
        <f t="shared" si="46"/>
        <v>318.89687890197069</v>
      </c>
      <c r="AQ98" s="8">
        <f t="shared" si="46"/>
        <v>318.89687890197069</v>
      </c>
      <c r="AR98" s="8">
        <f t="shared" si="47"/>
        <v>318.89687890197069</v>
      </c>
      <c r="AS98" s="8">
        <f t="shared" si="47"/>
        <v>318.89687890197069</v>
      </c>
      <c r="AT98" s="8">
        <f t="shared" si="47"/>
        <v>318.89687890197069</v>
      </c>
      <c r="AU98" s="8">
        <f t="shared" si="47"/>
        <v>318.89687890197069</v>
      </c>
      <c r="AV98" s="8">
        <f t="shared" si="47"/>
        <v>318.89687890197069</v>
      </c>
    </row>
    <row r="99" spans="1:50">
      <c r="A99" s="185" t="s">
        <v>16</v>
      </c>
      <c r="B99" s="264" t="str">
        <f t="shared" si="48"/>
        <v>CET</v>
      </c>
      <c r="C99" s="107" t="str">
        <f t="shared" si="42"/>
        <v>Commercial - Public Water</v>
      </c>
      <c r="D99" s="107" t="s">
        <v>75</v>
      </c>
      <c r="E99" s="173">
        <f>D63/$J$34</f>
        <v>133.99608918927126</v>
      </c>
      <c r="F99" s="173">
        <f>E63/$O$34</f>
        <v>110.19466800007318</v>
      </c>
      <c r="G99" s="168">
        <f t="shared" si="43"/>
        <v>110.19466800007318</v>
      </c>
      <c r="H99" s="168">
        <f>G99*(1+$I$91)</f>
        <v>110.19466800007318</v>
      </c>
      <c r="I99" s="169">
        <f t="shared" si="50"/>
        <v>110.19466800007318</v>
      </c>
      <c r="J99" s="8">
        <f t="shared" si="51"/>
        <v>133.99608918927126</v>
      </c>
      <c r="K99" s="8">
        <f t="shared" si="51"/>
        <v>129.23580495143165</v>
      </c>
      <c r="L99" s="8">
        <f t="shared" si="45"/>
        <v>124.47552071359203</v>
      </c>
      <c r="M99" s="8">
        <f>IF(M$8=-1,N99,IF(M$8=99,L99,IF(M$8=0,INDEX($E99:$I99,0,M$6),(INDEX($E99:$I99,0,M$8+1)-INDEX($E99:$I99,0,M$8))/(INDEX($D$5:$H$5,0,M$8+1)-INDEX($D$5:$H$5,0,M$8))+L99)))</f>
        <v>119.71523647575242</v>
      </c>
      <c r="N99" s="8">
        <f t="shared" si="45"/>
        <v>114.95495223791281</v>
      </c>
      <c r="O99" s="8">
        <f t="shared" si="45"/>
        <v>110.19466800007318</v>
      </c>
      <c r="P99" s="8">
        <f t="shared" si="45"/>
        <v>110.19466800007318</v>
      </c>
      <c r="Q99" s="8">
        <f t="shared" si="45"/>
        <v>110.19466800007318</v>
      </c>
      <c r="R99" s="8">
        <f t="shared" si="45"/>
        <v>110.19466800007318</v>
      </c>
      <c r="S99" s="8">
        <f t="shared" si="45"/>
        <v>110.19466800007318</v>
      </c>
      <c r="T99" s="8">
        <f t="shared" si="45"/>
        <v>110.19466800007318</v>
      </c>
      <c r="U99" s="8">
        <f t="shared" si="45"/>
        <v>110.19466800007318</v>
      </c>
      <c r="V99" s="8">
        <f t="shared" si="45"/>
        <v>110.19466800007318</v>
      </c>
      <c r="W99" s="8">
        <f t="shared" si="45"/>
        <v>110.19466800007318</v>
      </c>
      <c r="X99" s="8">
        <f t="shared" si="45"/>
        <v>110.19466800007318</v>
      </c>
      <c r="Y99" s="8">
        <f t="shared" si="45"/>
        <v>110.19466800007318</v>
      </c>
      <c r="Z99" s="8">
        <f t="shared" si="45"/>
        <v>110.19466800007318</v>
      </c>
      <c r="AA99" s="8">
        <f t="shared" si="45"/>
        <v>110.19466800007318</v>
      </c>
      <c r="AB99" s="8">
        <f t="shared" si="46"/>
        <v>110.19466800007318</v>
      </c>
      <c r="AC99" s="8">
        <f t="shared" si="46"/>
        <v>110.19466800007318</v>
      </c>
      <c r="AD99" s="8">
        <f t="shared" si="46"/>
        <v>110.19466800007318</v>
      </c>
      <c r="AE99" s="8">
        <f t="shared" si="46"/>
        <v>110.19466800007318</v>
      </c>
      <c r="AF99" s="8">
        <f t="shared" si="46"/>
        <v>110.19466800007318</v>
      </c>
      <c r="AG99" s="8">
        <f t="shared" si="46"/>
        <v>110.19466800007318</v>
      </c>
      <c r="AH99" s="8">
        <f t="shared" si="46"/>
        <v>110.19466800007318</v>
      </c>
      <c r="AI99" s="8">
        <f t="shared" si="46"/>
        <v>110.19466800007318</v>
      </c>
      <c r="AJ99" s="8">
        <f t="shared" si="46"/>
        <v>110.19466800007318</v>
      </c>
      <c r="AK99" s="8">
        <f t="shared" si="46"/>
        <v>110.19466800007318</v>
      </c>
      <c r="AL99" s="8">
        <f t="shared" si="46"/>
        <v>110.19466800007318</v>
      </c>
      <c r="AM99" s="8">
        <f t="shared" si="46"/>
        <v>110.19466800007318</v>
      </c>
      <c r="AN99" s="8">
        <f t="shared" si="46"/>
        <v>110.19466800007318</v>
      </c>
      <c r="AO99" s="8">
        <f t="shared" si="46"/>
        <v>110.19466800007318</v>
      </c>
      <c r="AP99" s="8">
        <f t="shared" si="46"/>
        <v>110.19466800007318</v>
      </c>
      <c r="AQ99" s="8">
        <f t="shared" si="46"/>
        <v>110.19466800007318</v>
      </c>
      <c r="AR99" s="8">
        <f t="shared" si="47"/>
        <v>110.19466800007318</v>
      </c>
      <c r="AS99" s="8">
        <f t="shared" si="47"/>
        <v>110.19466800007318</v>
      </c>
      <c r="AT99" s="8">
        <f t="shared" si="47"/>
        <v>110.19466800007318</v>
      </c>
      <c r="AU99" s="8">
        <f t="shared" si="47"/>
        <v>110.19466800007318</v>
      </c>
      <c r="AV99" s="8">
        <f t="shared" si="47"/>
        <v>110.19466800007318</v>
      </c>
    </row>
    <row r="100" spans="1:50">
      <c r="A100" s="185" t="s">
        <v>16</v>
      </c>
      <c r="B100" s="264" t="str">
        <f t="shared" si="48"/>
        <v>CEO</v>
      </c>
      <c r="C100" s="87" t="str">
        <f t="shared" si="42"/>
        <v>Commercial - Other</v>
      </c>
      <c r="D100" s="87" t="s">
        <v>75</v>
      </c>
      <c r="E100" s="96">
        <f t="shared" si="49"/>
        <v>141.24997285391134</v>
      </c>
      <c r="F100" s="104">
        <f t="shared" si="49"/>
        <v>122.21640392690337</v>
      </c>
      <c r="G100" s="104">
        <f t="shared" si="43"/>
        <v>122.21640392690337</v>
      </c>
      <c r="H100" s="104">
        <f>G100*(1+$H$91)</f>
        <v>122.21640392690337</v>
      </c>
      <c r="I100" s="150">
        <f t="shared" si="50"/>
        <v>122.21640392690337</v>
      </c>
      <c r="J100" s="8">
        <f t="shared" si="51"/>
        <v>141.24997285391134</v>
      </c>
      <c r="K100" s="8">
        <f t="shared" si="51"/>
        <v>137.44325906850975</v>
      </c>
      <c r="L100" s="8">
        <f t="shared" si="45"/>
        <v>133.63654528310815</v>
      </c>
      <c r="M100" s="8">
        <f>IF(M$8=-1,N100,IF(M$8=99,L100,IF(M$8=0,INDEX($E100:$I100,0,M$6),(INDEX($E100:$I100,0,M$8+1)-INDEX($E100:$I100,0,M$8))/(INDEX($D$5:$H$5,0,M$8+1)-INDEX($D$5:$H$5,0,M$8))+L100)))</f>
        <v>129.82983149770655</v>
      </c>
      <c r="N100" s="8">
        <f t="shared" si="45"/>
        <v>126.02311771230495</v>
      </c>
      <c r="O100" s="8">
        <f t="shared" si="45"/>
        <v>122.21640392690337</v>
      </c>
      <c r="P100" s="8">
        <f t="shared" si="45"/>
        <v>122.21640392690337</v>
      </c>
      <c r="Q100" s="8">
        <f t="shared" si="45"/>
        <v>122.21640392690337</v>
      </c>
      <c r="R100" s="8">
        <f t="shared" si="45"/>
        <v>122.21640392690337</v>
      </c>
      <c r="S100" s="8">
        <f t="shared" si="45"/>
        <v>122.21640392690337</v>
      </c>
      <c r="T100" s="8">
        <f t="shared" si="45"/>
        <v>122.21640392690337</v>
      </c>
      <c r="U100" s="8">
        <f t="shared" si="45"/>
        <v>122.21640392690337</v>
      </c>
      <c r="V100" s="8">
        <f t="shared" si="45"/>
        <v>122.21640392690337</v>
      </c>
      <c r="W100" s="8">
        <f t="shared" si="45"/>
        <v>122.21640392690337</v>
      </c>
      <c r="X100" s="8">
        <f t="shared" si="45"/>
        <v>122.21640392690337</v>
      </c>
      <c r="Y100" s="8">
        <f t="shared" si="45"/>
        <v>122.21640392690337</v>
      </c>
      <c r="Z100" s="8">
        <f t="shared" si="45"/>
        <v>122.21640392690337</v>
      </c>
      <c r="AA100" s="8">
        <f t="shared" si="45"/>
        <v>122.21640392690337</v>
      </c>
      <c r="AB100" s="8">
        <f t="shared" si="46"/>
        <v>122.21640392690337</v>
      </c>
      <c r="AC100" s="8">
        <f t="shared" si="46"/>
        <v>122.21640392690337</v>
      </c>
      <c r="AD100" s="8">
        <f t="shared" si="46"/>
        <v>122.21640392690337</v>
      </c>
      <c r="AE100" s="8">
        <f t="shared" si="46"/>
        <v>122.21640392690337</v>
      </c>
      <c r="AF100" s="8">
        <f t="shared" si="46"/>
        <v>122.21640392690337</v>
      </c>
      <c r="AG100" s="8">
        <f t="shared" si="46"/>
        <v>122.21640392690337</v>
      </c>
      <c r="AH100" s="8">
        <f t="shared" si="46"/>
        <v>122.21640392690337</v>
      </c>
      <c r="AI100" s="8">
        <f t="shared" si="46"/>
        <v>122.21640392690337</v>
      </c>
      <c r="AJ100" s="8">
        <f t="shared" si="46"/>
        <v>122.21640392690337</v>
      </c>
      <c r="AK100" s="8">
        <f t="shared" si="46"/>
        <v>122.21640392690337</v>
      </c>
      <c r="AL100" s="8">
        <f t="shared" si="46"/>
        <v>122.21640392690337</v>
      </c>
      <c r="AM100" s="8">
        <f t="shared" si="46"/>
        <v>122.21640392690337</v>
      </c>
      <c r="AN100" s="8">
        <f t="shared" si="46"/>
        <v>122.21640392690337</v>
      </c>
      <c r="AO100" s="8">
        <f t="shared" si="46"/>
        <v>122.21640392690337</v>
      </c>
      <c r="AP100" s="8">
        <f t="shared" si="46"/>
        <v>122.21640392690337</v>
      </c>
      <c r="AQ100" s="8">
        <f t="shared" si="46"/>
        <v>122.21640392690337</v>
      </c>
      <c r="AR100" s="8">
        <f t="shared" si="47"/>
        <v>122.21640392690337</v>
      </c>
      <c r="AS100" s="8">
        <f t="shared" si="47"/>
        <v>122.21640392690337</v>
      </c>
      <c r="AT100" s="8">
        <f t="shared" si="47"/>
        <v>122.21640392690337</v>
      </c>
      <c r="AU100" s="8">
        <f t="shared" si="47"/>
        <v>122.21640392690337</v>
      </c>
      <c r="AV100" s="8">
        <f t="shared" si="47"/>
        <v>122.21640392690337</v>
      </c>
    </row>
    <row r="101" spans="1:50">
      <c r="A101" s="185" t="s">
        <v>16</v>
      </c>
      <c r="B101" s="264"/>
      <c r="I101" s="151"/>
      <c r="K101" s="87"/>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row>
    <row r="102" spans="1:50">
      <c r="A102" s="185" t="s">
        <v>16</v>
      </c>
      <c r="E102" s="96"/>
      <c r="F102" s="96"/>
      <c r="G102" s="96"/>
      <c r="H102" s="96"/>
      <c r="I102" s="171"/>
      <c r="J102" s="96"/>
      <c r="K102" s="96"/>
      <c r="L102" s="96"/>
      <c r="M102" s="96"/>
      <c r="N102" s="96"/>
      <c r="O102" s="96"/>
      <c r="P102" s="96"/>
      <c r="Q102" s="96"/>
      <c r="R102" s="96"/>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row>
    <row r="103" spans="1:50" ht="18.75">
      <c r="A103" s="185" t="s">
        <v>16</v>
      </c>
      <c r="B103" s="161" t="s">
        <v>76</v>
      </c>
      <c r="I103" s="151"/>
      <c r="J103" s="96"/>
      <c r="K103" s="96"/>
      <c r="L103" s="96"/>
      <c r="M103" s="96"/>
      <c r="N103" s="96"/>
      <c r="O103" s="96"/>
      <c r="P103" s="96"/>
      <c r="Q103" s="96"/>
      <c r="R103" s="96"/>
      <c r="S103" s="96"/>
      <c r="T103" s="96"/>
      <c r="U103" s="96"/>
      <c r="V103" s="96"/>
      <c r="W103" s="96"/>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row>
    <row r="104" spans="1:50" ht="15.75" thickBot="1">
      <c r="A104" s="185" t="s">
        <v>16</v>
      </c>
      <c r="B104" s="84"/>
      <c r="C104" s="84" t="s">
        <v>257</v>
      </c>
      <c r="D104" s="84"/>
      <c r="E104" s="84"/>
      <c r="F104" s="97"/>
      <c r="G104" s="97"/>
      <c r="H104" s="97"/>
      <c r="I104" s="172"/>
      <c r="J104" s="97">
        <f t="shared" ref="J104:AV104" si="52">J67</f>
        <v>2012</v>
      </c>
      <c r="K104" s="97">
        <f t="shared" si="52"/>
        <v>2013</v>
      </c>
      <c r="L104" s="97">
        <f t="shared" si="52"/>
        <v>2014</v>
      </c>
      <c r="M104" s="97">
        <f t="shared" si="52"/>
        <v>2015</v>
      </c>
      <c r="N104" s="97">
        <f t="shared" si="52"/>
        <v>2016</v>
      </c>
      <c r="O104" s="97">
        <f t="shared" si="52"/>
        <v>2017</v>
      </c>
      <c r="P104" s="97">
        <f t="shared" si="52"/>
        <v>2018</v>
      </c>
      <c r="Q104" s="97">
        <f t="shared" si="52"/>
        <v>2019</v>
      </c>
      <c r="R104" s="97">
        <f t="shared" si="52"/>
        <v>2020</v>
      </c>
      <c r="S104" s="97">
        <f t="shared" si="52"/>
        <v>2021</v>
      </c>
      <c r="T104" s="97">
        <f t="shared" si="52"/>
        <v>2022</v>
      </c>
      <c r="U104" s="97">
        <f t="shared" si="52"/>
        <v>2023</v>
      </c>
      <c r="V104" s="97">
        <f t="shared" si="52"/>
        <v>2024</v>
      </c>
      <c r="W104" s="97">
        <f t="shared" si="52"/>
        <v>2025</v>
      </c>
      <c r="X104" s="97">
        <f t="shared" si="52"/>
        <v>2026</v>
      </c>
      <c r="Y104" s="97">
        <f t="shared" si="52"/>
        <v>2027</v>
      </c>
      <c r="Z104" s="97">
        <f t="shared" si="52"/>
        <v>2028</v>
      </c>
      <c r="AA104" s="97">
        <f t="shared" si="52"/>
        <v>2029</v>
      </c>
      <c r="AB104" s="97">
        <f t="shared" si="52"/>
        <v>2030</v>
      </c>
      <c r="AC104" s="97">
        <f t="shared" si="52"/>
        <v>2031</v>
      </c>
      <c r="AD104" s="97">
        <f t="shared" si="52"/>
        <v>2032</v>
      </c>
      <c r="AE104" s="97">
        <f t="shared" si="52"/>
        <v>2033</v>
      </c>
      <c r="AF104" s="97">
        <f t="shared" si="52"/>
        <v>2034</v>
      </c>
      <c r="AG104" s="97">
        <f t="shared" si="52"/>
        <v>2035</v>
      </c>
      <c r="AH104" s="97">
        <f t="shared" si="52"/>
        <v>2036</v>
      </c>
      <c r="AI104" s="97">
        <f t="shared" si="52"/>
        <v>2037</v>
      </c>
      <c r="AJ104" s="97">
        <f t="shared" si="52"/>
        <v>2038</v>
      </c>
      <c r="AK104" s="97">
        <f t="shared" si="52"/>
        <v>2039</v>
      </c>
      <c r="AL104" s="97">
        <f t="shared" si="52"/>
        <v>2040</v>
      </c>
      <c r="AM104" s="97">
        <f t="shared" si="52"/>
        <v>2041</v>
      </c>
      <c r="AN104" s="97">
        <f t="shared" si="52"/>
        <v>2042</v>
      </c>
      <c r="AO104" s="97">
        <f t="shared" si="52"/>
        <v>2043</v>
      </c>
      <c r="AP104" s="97">
        <f t="shared" si="52"/>
        <v>2044</v>
      </c>
      <c r="AQ104" s="97">
        <f t="shared" si="52"/>
        <v>2045</v>
      </c>
      <c r="AR104" s="97">
        <f t="shared" si="52"/>
        <v>2046</v>
      </c>
      <c r="AS104" s="97">
        <f t="shared" si="52"/>
        <v>2047</v>
      </c>
      <c r="AT104" s="97">
        <f t="shared" si="52"/>
        <v>2048</v>
      </c>
      <c r="AU104" s="97">
        <f t="shared" si="52"/>
        <v>2049</v>
      </c>
      <c r="AV104" s="97">
        <f t="shared" si="52"/>
        <v>2050</v>
      </c>
    </row>
    <row r="105" spans="1:50">
      <c r="A105" s="185" t="s">
        <v>16</v>
      </c>
      <c r="B105" s="264" t="s">
        <v>248</v>
      </c>
      <c r="C105" s="87" t="str">
        <f t="shared" ref="C105:C113" si="53">C70</f>
        <v>Commercial - Cooling</v>
      </c>
      <c r="I105" s="151"/>
      <c r="J105" s="87">
        <v>1</v>
      </c>
      <c r="K105" s="87">
        <v>1</v>
      </c>
      <c r="L105" s="87">
        <v>1</v>
      </c>
      <c r="M105" s="87">
        <v>1</v>
      </c>
      <c r="N105" s="87">
        <v>1</v>
      </c>
      <c r="O105" s="87">
        <v>1</v>
      </c>
      <c r="P105" s="87">
        <v>1</v>
      </c>
      <c r="Q105" s="87">
        <v>1</v>
      </c>
      <c r="R105" s="87">
        <v>1</v>
      </c>
      <c r="S105" s="87">
        <v>1</v>
      </c>
      <c r="T105" s="87">
        <v>1</v>
      </c>
      <c r="U105" s="87">
        <v>1</v>
      </c>
      <c r="V105" s="87">
        <v>1</v>
      </c>
      <c r="W105" s="87">
        <v>1</v>
      </c>
      <c r="X105" s="87">
        <v>1</v>
      </c>
      <c r="Y105" s="87">
        <v>1</v>
      </c>
      <c r="Z105" s="87">
        <v>1</v>
      </c>
      <c r="AA105" s="87">
        <v>1</v>
      </c>
      <c r="AB105" s="87">
        <v>1</v>
      </c>
      <c r="AC105" s="87">
        <v>1</v>
      </c>
      <c r="AD105" s="87">
        <v>1</v>
      </c>
      <c r="AE105" s="87">
        <v>1</v>
      </c>
      <c r="AF105" s="87">
        <v>1</v>
      </c>
      <c r="AG105" s="87">
        <v>1</v>
      </c>
      <c r="AH105" s="87">
        <v>1</v>
      </c>
      <c r="AI105" s="87">
        <v>1</v>
      </c>
      <c r="AJ105" s="87">
        <v>1</v>
      </c>
      <c r="AK105" s="87">
        <v>1</v>
      </c>
      <c r="AL105" s="87">
        <v>1</v>
      </c>
      <c r="AM105" s="87">
        <v>1</v>
      </c>
      <c r="AN105" s="87">
        <v>1</v>
      </c>
      <c r="AO105" s="87">
        <v>1</v>
      </c>
      <c r="AP105" s="87">
        <v>1</v>
      </c>
      <c r="AQ105" s="87">
        <v>1</v>
      </c>
      <c r="AR105" s="87">
        <v>1</v>
      </c>
      <c r="AS105" s="87">
        <v>1</v>
      </c>
      <c r="AT105" s="87">
        <v>1</v>
      </c>
      <c r="AU105" s="87">
        <v>1</v>
      </c>
      <c r="AV105" s="87">
        <v>1</v>
      </c>
    </row>
    <row r="106" spans="1:50">
      <c r="A106" s="185" t="s">
        <v>16</v>
      </c>
      <c r="B106" s="264" t="s">
        <v>249</v>
      </c>
      <c r="C106" s="87" t="str">
        <f t="shared" si="53"/>
        <v>Commercial - Space Heating</v>
      </c>
      <c r="I106" s="151"/>
      <c r="J106" s="87">
        <v>1</v>
      </c>
      <c r="K106" s="87">
        <v>1</v>
      </c>
      <c r="L106" s="87">
        <v>1</v>
      </c>
      <c r="M106" s="87">
        <v>1</v>
      </c>
      <c r="N106" s="87">
        <v>1</v>
      </c>
      <c r="O106" s="87">
        <v>1</v>
      </c>
      <c r="P106" s="87">
        <v>1</v>
      </c>
      <c r="Q106" s="87">
        <v>1</v>
      </c>
      <c r="R106" s="87">
        <v>1</v>
      </c>
      <c r="S106" s="87">
        <v>1</v>
      </c>
      <c r="T106" s="87">
        <v>1</v>
      </c>
      <c r="U106" s="87">
        <v>1</v>
      </c>
      <c r="V106" s="87">
        <v>1</v>
      </c>
      <c r="W106" s="87">
        <v>1</v>
      </c>
      <c r="X106" s="87">
        <v>1</v>
      </c>
      <c r="Y106" s="87">
        <v>1</v>
      </c>
      <c r="Z106" s="87">
        <v>1</v>
      </c>
      <c r="AA106" s="87">
        <v>1</v>
      </c>
      <c r="AB106" s="87">
        <v>1</v>
      </c>
      <c r="AC106" s="87">
        <v>1</v>
      </c>
      <c r="AD106" s="87">
        <v>1</v>
      </c>
      <c r="AE106" s="87">
        <v>1</v>
      </c>
      <c r="AF106" s="87">
        <v>1</v>
      </c>
      <c r="AG106" s="87">
        <v>1</v>
      </c>
      <c r="AH106" s="87">
        <v>1</v>
      </c>
      <c r="AI106" s="87">
        <v>1</v>
      </c>
      <c r="AJ106" s="87">
        <v>1</v>
      </c>
      <c r="AK106" s="87">
        <v>1</v>
      </c>
      <c r="AL106" s="87">
        <v>1</v>
      </c>
      <c r="AM106" s="87">
        <v>1</v>
      </c>
      <c r="AN106" s="87">
        <v>1</v>
      </c>
      <c r="AO106" s="87">
        <v>1</v>
      </c>
      <c r="AP106" s="87">
        <v>1</v>
      </c>
      <c r="AQ106" s="87">
        <v>1</v>
      </c>
      <c r="AR106" s="87">
        <v>1</v>
      </c>
      <c r="AS106" s="87">
        <v>1</v>
      </c>
      <c r="AT106" s="87">
        <v>1</v>
      </c>
      <c r="AU106" s="87">
        <v>1</v>
      </c>
      <c r="AV106" s="87">
        <v>1</v>
      </c>
      <c r="AX106" s="143">
        <v>0.01</v>
      </c>
    </row>
    <row r="107" spans="1:50">
      <c r="A107" s="185" t="s">
        <v>16</v>
      </c>
      <c r="B107" s="264" t="s">
        <v>250</v>
      </c>
      <c r="C107" s="87" t="str">
        <f t="shared" si="53"/>
        <v>Commercial - Cooking</v>
      </c>
      <c r="I107" s="151"/>
      <c r="J107" s="87">
        <v>1</v>
      </c>
      <c r="K107" s="87">
        <v>1</v>
      </c>
      <c r="L107" s="87">
        <v>1</v>
      </c>
      <c r="M107" s="87">
        <v>1</v>
      </c>
      <c r="N107" s="87">
        <v>1</v>
      </c>
      <c r="O107" s="87">
        <v>1</v>
      </c>
      <c r="P107" s="87">
        <v>1</v>
      </c>
      <c r="Q107" s="87">
        <v>1</v>
      </c>
      <c r="R107" s="87">
        <v>1</v>
      </c>
      <c r="S107" s="87">
        <v>1</v>
      </c>
      <c r="T107" s="87">
        <v>1</v>
      </c>
      <c r="U107" s="87">
        <v>1</v>
      </c>
      <c r="V107" s="87">
        <v>1</v>
      </c>
      <c r="W107" s="87">
        <v>1</v>
      </c>
      <c r="X107" s="87">
        <v>1</v>
      </c>
      <c r="Y107" s="87">
        <v>1</v>
      </c>
      <c r="Z107" s="87">
        <v>1</v>
      </c>
      <c r="AA107" s="87">
        <v>1</v>
      </c>
      <c r="AB107" s="87">
        <v>1</v>
      </c>
      <c r="AC107" s="87">
        <v>1</v>
      </c>
      <c r="AD107" s="87">
        <v>1</v>
      </c>
      <c r="AE107" s="87">
        <v>1</v>
      </c>
      <c r="AF107" s="87">
        <v>1</v>
      </c>
      <c r="AG107" s="87">
        <v>1</v>
      </c>
      <c r="AH107" s="87">
        <v>1</v>
      </c>
      <c r="AI107" s="87">
        <v>1</v>
      </c>
      <c r="AJ107" s="87">
        <v>1</v>
      </c>
      <c r="AK107" s="87">
        <v>1</v>
      </c>
      <c r="AL107" s="87">
        <v>1</v>
      </c>
      <c r="AM107" s="87">
        <v>1</v>
      </c>
      <c r="AN107" s="87">
        <v>1</v>
      </c>
      <c r="AO107" s="87">
        <v>1</v>
      </c>
      <c r="AP107" s="87">
        <v>1</v>
      </c>
      <c r="AQ107" s="87">
        <v>1</v>
      </c>
      <c r="AR107" s="87">
        <v>1</v>
      </c>
      <c r="AS107" s="87">
        <v>1</v>
      </c>
      <c r="AT107" s="87">
        <v>1</v>
      </c>
      <c r="AU107" s="87">
        <v>1</v>
      </c>
      <c r="AV107" s="87">
        <v>1</v>
      </c>
      <c r="AX107" s="142" t="s">
        <v>477</v>
      </c>
    </row>
    <row r="108" spans="1:50">
      <c r="A108" s="185" t="s">
        <v>16</v>
      </c>
      <c r="B108" s="264" t="s">
        <v>251</v>
      </c>
      <c r="C108" s="87" t="str">
        <f t="shared" si="53"/>
        <v>Commercial - Lighting</v>
      </c>
      <c r="I108" s="151"/>
      <c r="J108" s="87">
        <v>1</v>
      </c>
      <c r="K108" s="87">
        <v>1</v>
      </c>
      <c r="L108" s="87">
        <v>1</v>
      </c>
      <c r="M108" s="87">
        <v>1</v>
      </c>
      <c r="N108" s="87">
        <v>1</v>
      </c>
      <c r="O108" s="87">
        <v>1</v>
      </c>
      <c r="P108" s="87">
        <v>1</v>
      </c>
      <c r="Q108" s="87">
        <v>1</v>
      </c>
      <c r="R108" s="87">
        <v>1</v>
      </c>
      <c r="S108" s="87">
        <v>1</v>
      </c>
      <c r="T108" s="87">
        <v>1</v>
      </c>
      <c r="U108" s="87">
        <v>1</v>
      </c>
      <c r="V108" s="87">
        <v>1</v>
      </c>
      <c r="W108" s="87">
        <v>1</v>
      </c>
      <c r="X108" s="87">
        <v>1</v>
      </c>
      <c r="Y108" s="87">
        <v>1</v>
      </c>
      <c r="Z108" s="87">
        <v>1</v>
      </c>
      <c r="AA108" s="87">
        <v>1</v>
      </c>
      <c r="AB108" s="87">
        <v>1</v>
      </c>
      <c r="AC108" s="87">
        <v>1</v>
      </c>
      <c r="AD108" s="87">
        <v>1</v>
      </c>
      <c r="AE108" s="87">
        <v>1</v>
      </c>
      <c r="AF108" s="87">
        <v>1</v>
      </c>
      <c r="AG108" s="87">
        <v>1</v>
      </c>
      <c r="AH108" s="87">
        <v>1</v>
      </c>
      <c r="AI108" s="87">
        <v>1</v>
      </c>
      <c r="AJ108" s="87">
        <v>1</v>
      </c>
      <c r="AK108" s="87">
        <v>1</v>
      </c>
      <c r="AL108" s="87">
        <v>1</v>
      </c>
      <c r="AM108" s="87">
        <v>1</v>
      </c>
      <c r="AN108" s="87">
        <v>1</v>
      </c>
      <c r="AO108" s="87">
        <v>1</v>
      </c>
      <c r="AP108" s="87">
        <v>1</v>
      </c>
      <c r="AQ108" s="87">
        <v>1</v>
      </c>
      <c r="AR108" s="87">
        <v>1</v>
      </c>
      <c r="AS108" s="87">
        <v>1</v>
      </c>
      <c r="AT108" s="87">
        <v>1</v>
      </c>
      <c r="AU108" s="87">
        <v>1</v>
      </c>
      <c r="AV108" s="87">
        <v>1</v>
      </c>
      <c r="AX108" s="142" t="s">
        <v>478</v>
      </c>
    </row>
    <row r="109" spans="1:50">
      <c r="A109" s="185" t="s">
        <v>16</v>
      </c>
      <c r="B109" s="264" t="s">
        <v>252</v>
      </c>
      <c r="C109" s="87" t="str">
        <f t="shared" si="53"/>
        <v>Commercial - Refrigeration</v>
      </c>
      <c r="I109" s="151"/>
      <c r="J109" s="87">
        <v>1</v>
      </c>
      <c r="K109" s="87">
        <v>1</v>
      </c>
      <c r="L109" s="87">
        <v>1</v>
      </c>
      <c r="M109" s="87">
        <v>1</v>
      </c>
      <c r="N109" s="87">
        <v>1</v>
      </c>
      <c r="O109" s="87">
        <v>1</v>
      </c>
      <c r="P109" s="87">
        <v>1</v>
      </c>
      <c r="Q109" s="87">
        <v>1</v>
      </c>
      <c r="R109" s="87">
        <v>1</v>
      </c>
      <c r="S109" s="87">
        <v>1</v>
      </c>
      <c r="T109" s="87">
        <v>1</v>
      </c>
      <c r="U109" s="87">
        <v>1</v>
      </c>
      <c r="V109" s="87">
        <v>1</v>
      </c>
      <c r="W109" s="87">
        <v>1</v>
      </c>
      <c r="X109" s="87">
        <v>1</v>
      </c>
      <c r="Y109" s="87">
        <v>1</v>
      </c>
      <c r="Z109" s="87">
        <v>1</v>
      </c>
      <c r="AA109" s="87">
        <v>1</v>
      </c>
      <c r="AB109" s="87">
        <v>1</v>
      </c>
      <c r="AC109" s="87">
        <v>1</v>
      </c>
      <c r="AD109" s="87">
        <v>1</v>
      </c>
      <c r="AE109" s="87">
        <v>1</v>
      </c>
      <c r="AF109" s="87">
        <v>1</v>
      </c>
      <c r="AG109" s="87">
        <v>1</v>
      </c>
      <c r="AH109" s="87">
        <v>1</v>
      </c>
      <c r="AI109" s="87">
        <v>1</v>
      </c>
      <c r="AJ109" s="87">
        <v>1</v>
      </c>
      <c r="AK109" s="87">
        <v>1</v>
      </c>
      <c r="AL109" s="87">
        <v>1</v>
      </c>
      <c r="AM109" s="87">
        <v>1</v>
      </c>
      <c r="AN109" s="87">
        <v>1</v>
      </c>
      <c r="AO109" s="87">
        <v>1</v>
      </c>
      <c r="AP109" s="87">
        <v>1</v>
      </c>
      <c r="AQ109" s="87">
        <v>1</v>
      </c>
      <c r="AR109" s="87">
        <v>1</v>
      </c>
      <c r="AS109" s="87">
        <v>1</v>
      </c>
      <c r="AT109" s="87">
        <v>1</v>
      </c>
      <c r="AU109" s="87">
        <v>1</v>
      </c>
      <c r="AV109" s="87">
        <v>1</v>
      </c>
    </row>
    <row r="110" spans="1:50">
      <c r="A110" s="185" t="s">
        <v>16</v>
      </c>
      <c r="B110" s="264" t="s">
        <v>253</v>
      </c>
      <c r="C110" s="87" t="str">
        <f t="shared" si="53"/>
        <v>Commercial - Water Heating</v>
      </c>
      <c r="I110" s="151"/>
      <c r="J110" s="87">
        <v>1</v>
      </c>
      <c r="K110" s="87">
        <v>1</v>
      </c>
      <c r="L110" s="87">
        <v>1</v>
      </c>
      <c r="M110" s="87">
        <v>1</v>
      </c>
      <c r="N110" s="87">
        <v>1</v>
      </c>
      <c r="O110" s="87">
        <v>1</v>
      </c>
      <c r="P110" s="87">
        <v>1</v>
      </c>
      <c r="Q110" s="87">
        <v>1</v>
      </c>
      <c r="R110" s="87">
        <v>1</v>
      </c>
      <c r="S110" s="87">
        <v>1</v>
      </c>
      <c r="T110" s="87">
        <v>1</v>
      </c>
      <c r="U110" s="87">
        <v>1</v>
      </c>
      <c r="V110" s="87">
        <v>1</v>
      </c>
      <c r="W110" s="87">
        <v>1</v>
      </c>
      <c r="X110" s="87">
        <v>1</v>
      </c>
      <c r="Y110" s="87">
        <v>1</v>
      </c>
      <c r="Z110" s="87">
        <v>1</v>
      </c>
      <c r="AA110" s="87">
        <v>1</v>
      </c>
      <c r="AB110" s="87">
        <v>1</v>
      </c>
      <c r="AC110" s="87">
        <v>1</v>
      </c>
      <c r="AD110" s="87">
        <v>1</v>
      </c>
      <c r="AE110" s="87">
        <v>1</v>
      </c>
      <c r="AF110" s="87">
        <v>1</v>
      </c>
      <c r="AG110" s="87">
        <v>1</v>
      </c>
      <c r="AH110" s="87">
        <v>1</v>
      </c>
      <c r="AI110" s="87">
        <v>1</v>
      </c>
      <c r="AJ110" s="87">
        <v>1</v>
      </c>
      <c r="AK110" s="87">
        <v>1</v>
      </c>
      <c r="AL110" s="87">
        <v>1</v>
      </c>
      <c r="AM110" s="87">
        <v>1</v>
      </c>
      <c r="AN110" s="87">
        <v>1</v>
      </c>
      <c r="AO110" s="87">
        <v>1</v>
      </c>
      <c r="AP110" s="87">
        <v>1</v>
      </c>
      <c r="AQ110" s="87">
        <v>1</v>
      </c>
      <c r="AR110" s="87">
        <v>1</v>
      </c>
      <c r="AS110" s="87">
        <v>1</v>
      </c>
      <c r="AT110" s="87">
        <v>1</v>
      </c>
      <c r="AU110" s="87">
        <v>1</v>
      </c>
      <c r="AV110" s="87">
        <v>1</v>
      </c>
    </row>
    <row r="111" spans="1:50">
      <c r="A111" s="185" t="s">
        <v>16</v>
      </c>
      <c r="B111" s="264" t="s">
        <v>254</v>
      </c>
      <c r="C111" s="87" t="str">
        <f t="shared" si="53"/>
        <v>Commercial - Public lights</v>
      </c>
      <c r="I111" s="151"/>
      <c r="J111" s="87">
        <v>1</v>
      </c>
      <c r="K111" s="87">
        <v>1</v>
      </c>
      <c r="L111" s="87">
        <v>1</v>
      </c>
      <c r="M111" s="87">
        <v>1</v>
      </c>
      <c r="N111" s="87">
        <v>1</v>
      </c>
      <c r="O111" s="87">
        <v>1</v>
      </c>
      <c r="P111" s="87">
        <v>1</v>
      </c>
      <c r="Q111" s="87">
        <v>1</v>
      </c>
      <c r="R111" s="87">
        <v>1</v>
      </c>
      <c r="S111" s="87">
        <v>1</v>
      </c>
      <c r="T111" s="87">
        <v>1</v>
      </c>
      <c r="U111" s="87">
        <v>1</v>
      </c>
      <c r="V111" s="87">
        <v>1</v>
      </c>
      <c r="W111" s="87">
        <v>1</v>
      </c>
      <c r="X111" s="87">
        <v>1</v>
      </c>
      <c r="Y111" s="87">
        <v>1</v>
      </c>
      <c r="Z111" s="87">
        <v>1</v>
      </c>
      <c r="AA111" s="87">
        <v>1</v>
      </c>
      <c r="AB111" s="87">
        <v>1</v>
      </c>
      <c r="AC111" s="87">
        <v>1</v>
      </c>
      <c r="AD111" s="87">
        <v>1</v>
      </c>
      <c r="AE111" s="87">
        <v>1</v>
      </c>
      <c r="AF111" s="87">
        <v>1</v>
      </c>
      <c r="AG111" s="87">
        <v>1</v>
      </c>
      <c r="AH111" s="87">
        <v>1</v>
      </c>
      <c r="AI111" s="87">
        <v>1</v>
      </c>
      <c r="AJ111" s="87">
        <v>1</v>
      </c>
      <c r="AK111" s="87">
        <v>1</v>
      </c>
      <c r="AL111" s="87">
        <v>1</v>
      </c>
      <c r="AM111" s="87">
        <v>1</v>
      </c>
      <c r="AN111" s="87">
        <v>1</v>
      </c>
      <c r="AO111" s="87">
        <v>1</v>
      </c>
      <c r="AP111" s="87">
        <v>1</v>
      </c>
      <c r="AQ111" s="87">
        <v>1</v>
      </c>
      <c r="AR111" s="87">
        <v>1</v>
      </c>
      <c r="AS111" s="87">
        <v>1</v>
      </c>
      <c r="AT111" s="87">
        <v>1</v>
      </c>
      <c r="AU111" s="87">
        <v>1</v>
      </c>
      <c r="AV111" s="87">
        <v>1</v>
      </c>
    </row>
    <row r="112" spans="1:50">
      <c r="A112" s="185" t="s">
        <v>16</v>
      </c>
      <c r="B112" s="264" t="s">
        <v>255</v>
      </c>
      <c r="C112" s="87" t="str">
        <f t="shared" si="53"/>
        <v>Commercial - Public Water</v>
      </c>
      <c r="I112" s="151"/>
      <c r="J112" s="87">
        <v>1</v>
      </c>
      <c r="K112" s="87">
        <v>1</v>
      </c>
      <c r="L112" s="87">
        <v>1</v>
      </c>
      <c r="M112" s="87">
        <v>1</v>
      </c>
      <c r="N112" s="87">
        <v>1</v>
      </c>
      <c r="O112" s="87">
        <v>1</v>
      </c>
      <c r="P112" s="87">
        <v>1</v>
      </c>
      <c r="Q112" s="87">
        <v>1</v>
      </c>
      <c r="R112" s="87">
        <v>1</v>
      </c>
      <c r="S112" s="87">
        <v>1</v>
      </c>
      <c r="T112" s="87">
        <v>1</v>
      </c>
      <c r="U112" s="87">
        <v>1</v>
      </c>
      <c r="V112" s="87">
        <v>1</v>
      </c>
      <c r="W112" s="87">
        <v>1</v>
      </c>
      <c r="X112" s="87">
        <v>1</v>
      </c>
      <c r="Y112" s="87">
        <v>1</v>
      </c>
      <c r="Z112" s="87">
        <v>1</v>
      </c>
      <c r="AA112" s="87">
        <v>1</v>
      </c>
      <c r="AB112" s="87">
        <v>1</v>
      </c>
      <c r="AC112" s="87">
        <v>1</v>
      </c>
      <c r="AD112" s="87">
        <v>1</v>
      </c>
      <c r="AE112" s="87">
        <v>1</v>
      </c>
      <c r="AF112" s="87">
        <v>1</v>
      </c>
      <c r="AG112" s="87">
        <v>1</v>
      </c>
      <c r="AH112" s="87">
        <v>1</v>
      </c>
      <c r="AI112" s="87">
        <v>1</v>
      </c>
      <c r="AJ112" s="87">
        <v>1</v>
      </c>
      <c r="AK112" s="87">
        <v>1</v>
      </c>
      <c r="AL112" s="87">
        <v>1</v>
      </c>
      <c r="AM112" s="87">
        <v>1</v>
      </c>
      <c r="AN112" s="87">
        <v>1</v>
      </c>
      <c r="AO112" s="87">
        <v>1</v>
      </c>
      <c r="AP112" s="87">
        <v>1</v>
      </c>
      <c r="AQ112" s="87">
        <v>1</v>
      </c>
      <c r="AR112" s="87">
        <v>1</v>
      </c>
      <c r="AS112" s="87">
        <v>1</v>
      </c>
      <c r="AT112" s="87">
        <v>1</v>
      </c>
      <c r="AU112" s="87">
        <v>1</v>
      </c>
      <c r="AV112" s="87">
        <v>1</v>
      </c>
    </row>
    <row r="113" spans="1:48">
      <c r="A113" s="185" t="s">
        <v>16</v>
      </c>
      <c r="B113" s="264" t="s">
        <v>256</v>
      </c>
      <c r="C113" s="87" t="str">
        <f t="shared" si="53"/>
        <v>Commercial - Other</v>
      </c>
      <c r="I113" s="151"/>
      <c r="J113" s="87">
        <v>1</v>
      </c>
      <c r="K113" s="87">
        <v>1</v>
      </c>
      <c r="L113" s="87">
        <v>1</v>
      </c>
      <c r="M113" s="87">
        <v>1</v>
      </c>
      <c r="N113" s="87">
        <v>1</v>
      </c>
      <c r="O113" s="87">
        <v>1</v>
      </c>
      <c r="P113" s="87">
        <v>1</v>
      </c>
      <c r="Q113" s="87">
        <v>1</v>
      </c>
      <c r="R113" s="87">
        <v>1</v>
      </c>
      <c r="S113" s="87">
        <v>1</v>
      </c>
      <c r="T113" s="87">
        <v>1</v>
      </c>
      <c r="U113" s="87">
        <v>1</v>
      </c>
      <c r="V113" s="87">
        <v>1</v>
      </c>
      <c r="W113" s="87">
        <v>1</v>
      </c>
      <c r="X113" s="87">
        <v>1</v>
      </c>
      <c r="Y113" s="87">
        <v>1</v>
      </c>
      <c r="Z113" s="87">
        <v>1</v>
      </c>
      <c r="AA113" s="87">
        <v>1</v>
      </c>
      <c r="AB113" s="87">
        <v>1</v>
      </c>
      <c r="AC113" s="87">
        <v>1</v>
      </c>
      <c r="AD113" s="87">
        <v>1</v>
      </c>
      <c r="AE113" s="87">
        <v>1</v>
      </c>
      <c r="AF113" s="87">
        <v>1</v>
      </c>
      <c r="AG113" s="87">
        <v>1</v>
      </c>
      <c r="AH113" s="87">
        <v>1</v>
      </c>
      <c r="AI113" s="87">
        <v>1</v>
      </c>
      <c r="AJ113" s="87">
        <v>1</v>
      </c>
      <c r="AK113" s="87">
        <v>1</v>
      </c>
      <c r="AL113" s="87">
        <v>1</v>
      </c>
      <c r="AM113" s="87">
        <v>1</v>
      </c>
      <c r="AN113" s="87">
        <v>1</v>
      </c>
      <c r="AO113" s="87">
        <v>1</v>
      </c>
      <c r="AP113" s="87">
        <v>1</v>
      </c>
      <c r="AQ113" s="87">
        <v>1</v>
      </c>
      <c r="AR113" s="87">
        <v>1</v>
      </c>
      <c r="AS113" s="87">
        <v>1</v>
      </c>
      <c r="AT113" s="87">
        <v>1</v>
      </c>
      <c r="AU113" s="87">
        <v>1</v>
      </c>
      <c r="AV113" s="87">
        <v>1</v>
      </c>
    </row>
    <row r="114" spans="1:48">
      <c r="A114" s="185" t="s">
        <v>16</v>
      </c>
      <c r="B114" s="264"/>
      <c r="I114" s="151"/>
      <c r="K114" s="87"/>
    </row>
    <row r="115" spans="1:48" ht="15.75" thickBot="1">
      <c r="A115" s="185" t="s">
        <v>16</v>
      </c>
      <c r="B115" s="264"/>
      <c r="C115" s="84" t="s">
        <v>258</v>
      </c>
      <c r="I115" s="151"/>
      <c r="K115" s="87"/>
    </row>
    <row r="116" spans="1:48">
      <c r="A116" s="185" t="s">
        <v>16</v>
      </c>
      <c r="B116" s="264" t="str">
        <f>B105</f>
        <v>CNC</v>
      </c>
      <c r="C116" s="264" t="str">
        <f>C105</f>
        <v>Commercial - Cooling</v>
      </c>
      <c r="E116" s="93">
        <v>0</v>
      </c>
      <c r="I116" s="151"/>
      <c r="J116" s="153">
        <f t="shared" ref="J116:Y124" si="54">(1-$E116)</f>
        <v>1</v>
      </c>
      <c r="K116" s="108">
        <f t="shared" si="54"/>
        <v>1</v>
      </c>
      <c r="L116" s="108">
        <f t="shared" si="54"/>
        <v>1</v>
      </c>
      <c r="M116" s="108">
        <f t="shared" si="54"/>
        <v>1</v>
      </c>
      <c r="N116" s="108">
        <f t="shared" si="54"/>
        <v>1</v>
      </c>
      <c r="O116" s="108">
        <f t="shared" si="54"/>
        <v>1</v>
      </c>
      <c r="P116" s="108">
        <f t="shared" si="54"/>
        <v>1</v>
      </c>
      <c r="Q116" s="108">
        <f t="shared" si="54"/>
        <v>1</v>
      </c>
      <c r="R116" s="108">
        <f t="shared" si="54"/>
        <v>1</v>
      </c>
      <c r="S116" s="108">
        <f t="shared" si="54"/>
        <v>1</v>
      </c>
      <c r="T116" s="108">
        <f t="shared" si="54"/>
        <v>1</v>
      </c>
      <c r="U116" s="108">
        <f t="shared" si="54"/>
        <v>1</v>
      </c>
      <c r="V116" s="108">
        <f t="shared" si="54"/>
        <v>1</v>
      </c>
      <c r="W116" s="108">
        <f t="shared" si="54"/>
        <v>1</v>
      </c>
      <c r="X116" s="108">
        <f t="shared" si="54"/>
        <v>1</v>
      </c>
      <c r="Y116" s="108">
        <f t="shared" si="54"/>
        <v>1</v>
      </c>
      <c r="Z116" s="108">
        <f t="shared" ref="Z116:AV124" si="55">(1-$E116)</f>
        <v>1</v>
      </c>
      <c r="AA116" s="108">
        <f t="shared" si="55"/>
        <v>1</v>
      </c>
      <c r="AB116" s="108">
        <f t="shared" si="55"/>
        <v>1</v>
      </c>
      <c r="AC116" s="108">
        <f t="shared" si="55"/>
        <v>1</v>
      </c>
      <c r="AD116" s="108">
        <f t="shared" si="55"/>
        <v>1</v>
      </c>
      <c r="AE116" s="108">
        <f t="shared" si="55"/>
        <v>1</v>
      </c>
      <c r="AF116" s="108">
        <f t="shared" si="55"/>
        <v>1</v>
      </c>
      <c r="AG116" s="108">
        <f t="shared" si="55"/>
        <v>1</v>
      </c>
      <c r="AH116" s="108">
        <f t="shared" si="55"/>
        <v>1</v>
      </c>
      <c r="AI116" s="108">
        <f t="shared" si="55"/>
        <v>1</v>
      </c>
      <c r="AJ116" s="108">
        <f t="shared" si="55"/>
        <v>1</v>
      </c>
      <c r="AK116" s="108">
        <f t="shared" si="55"/>
        <v>1</v>
      </c>
      <c r="AL116" s="108">
        <f t="shared" si="55"/>
        <v>1</v>
      </c>
      <c r="AM116" s="108">
        <f t="shared" si="55"/>
        <v>1</v>
      </c>
      <c r="AN116" s="108">
        <f t="shared" si="55"/>
        <v>1</v>
      </c>
      <c r="AO116" s="108">
        <f t="shared" si="55"/>
        <v>1</v>
      </c>
      <c r="AP116" s="108">
        <f t="shared" si="55"/>
        <v>1</v>
      </c>
      <c r="AQ116" s="108">
        <f t="shared" si="55"/>
        <v>1</v>
      </c>
      <c r="AR116" s="108">
        <f t="shared" si="55"/>
        <v>1</v>
      </c>
      <c r="AS116" s="108">
        <f t="shared" si="55"/>
        <v>1</v>
      </c>
      <c r="AT116" s="108">
        <f t="shared" si="55"/>
        <v>1</v>
      </c>
      <c r="AU116" s="108">
        <f t="shared" si="55"/>
        <v>1</v>
      </c>
      <c r="AV116" s="108">
        <f t="shared" si="55"/>
        <v>1</v>
      </c>
    </row>
    <row r="117" spans="1:48">
      <c r="A117" s="185" t="s">
        <v>16</v>
      </c>
      <c r="B117" s="264" t="str">
        <f t="shared" ref="B117:C124" si="56">B106</f>
        <v>CNH</v>
      </c>
      <c r="C117" s="264" t="str">
        <f t="shared" si="56"/>
        <v>Commercial - Space Heating</v>
      </c>
      <c r="E117" s="93">
        <v>0</v>
      </c>
      <c r="I117" s="151"/>
      <c r="J117" s="153">
        <f t="shared" si="54"/>
        <v>1</v>
      </c>
      <c r="K117" s="108">
        <f t="shared" si="54"/>
        <v>1</v>
      </c>
      <c r="L117" s="108">
        <f t="shared" si="54"/>
        <v>1</v>
      </c>
      <c r="M117" s="108">
        <f t="shared" si="54"/>
        <v>1</v>
      </c>
      <c r="N117" s="108">
        <f t="shared" si="54"/>
        <v>1</v>
      </c>
      <c r="O117" s="108">
        <f t="shared" si="54"/>
        <v>1</v>
      </c>
      <c r="P117" s="108">
        <f t="shared" si="54"/>
        <v>1</v>
      </c>
      <c r="Q117" s="108">
        <f t="shared" si="54"/>
        <v>1</v>
      </c>
      <c r="R117" s="108">
        <f t="shared" si="54"/>
        <v>1</v>
      </c>
      <c r="S117" s="108">
        <f t="shared" si="54"/>
        <v>1</v>
      </c>
      <c r="T117" s="108">
        <f t="shared" si="54"/>
        <v>1</v>
      </c>
      <c r="U117" s="108">
        <f t="shared" si="54"/>
        <v>1</v>
      </c>
      <c r="V117" s="108">
        <f t="shared" si="54"/>
        <v>1</v>
      </c>
      <c r="W117" s="108">
        <f t="shared" si="54"/>
        <v>1</v>
      </c>
      <c r="X117" s="108">
        <f t="shared" si="54"/>
        <v>1</v>
      </c>
      <c r="Y117" s="108">
        <f t="shared" si="54"/>
        <v>1</v>
      </c>
      <c r="Z117" s="108">
        <f t="shared" si="55"/>
        <v>1</v>
      </c>
      <c r="AA117" s="108">
        <f t="shared" si="55"/>
        <v>1</v>
      </c>
      <c r="AB117" s="108">
        <f t="shared" si="55"/>
        <v>1</v>
      </c>
      <c r="AC117" s="108">
        <f t="shared" si="55"/>
        <v>1</v>
      </c>
      <c r="AD117" s="108">
        <f t="shared" si="55"/>
        <v>1</v>
      </c>
      <c r="AE117" s="108">
        <f t="shared" si="55"/>
        <v>1</v>
      </c>
      <c r="AF117" s="108">
        <f t="shared" si="55"/>
        <v>1</v>
      </c>
      <c r="AG117" s="108">
        <f t="shared" si="55"/>
        <v>1</v>
      </c>
      <c r="AH117" s="108">
        <f t="shared" si="55"/>
        <v>1</v>
      </c>
      <c r="AI117" s="108">
        <f t="shared" si="55"/>
        <v>1</v>
      </c>
      <c r="AJ117" s="108">
        <f t="shared" si="55"/>
        <v>1</v>
      </c>
      <c r="AK117" s="108">
        <f t="shared" si="55"/>
        <v>1</v>
      </c>
      <c r="AL117" s="108">
        <f t="shared" si="55"/>
        <v>1</v>
      </c>
      <c r="AM117" s="108">
        <f t="shared" si="55"/>
        <v>1</v>
      </c>
      <c r="AN117" s="108">
        <f t="shared" si="55"/>
        <v>1</v>
      </c>
      <c r="AO117" s="108">
        <f t="shared" si="55"/>
        <v>1</v>
      </c>
      <c r="AP117" s="108">
        <f t="shared" si="55"/>
        <v>1</v>
      </c>
      <c r="AQ117" s="108">
        <f t="shared" si="55"/>
        <v>1</v>
      </c>
      <c r="AR117" s="108">
        <f t="shared" si="55"/>
        <v>1</v>
      </c>
      <c r="AS117" s="108">
        <f t="shared" si="55"/>
        <v>1</v>
      </c>
      <c r="AT117" s="108">
        <f t="shared" si="55"/>
        <v>1</v>
      </c>
      <c r="AU117" s="108">
        <f t="shared" si="55"/>
        <v>1</v>
      </c>
      <c r="AV117" s="108">
        <f t="shared" si="55"/>
        <v>1</v>
      </c>
    </row>
    <row r="118" spans="1:48">
      <c r="A118" s="185" t="s">
        <v>16</v>
      </c>
      <c r="B118" s="264" t="str">
        <f t="shared" si="56"/>
        <v>CNK</v>
      </c>
      <c r="C118" s="264" t="str">
        <f t="shared" si="56"/>
        <v>Commercial - Cooking</v>
      </c>
      <c r="E118" s="93">
        <v>0</v>
      </c>
      <c r="I118" s="151"/>
      <c r="J118" s="153">
        <f t="shared" si="54"/>
        <v>1</v>
      </c>
      <c r="K118" s="108">
        <f t="shared" si="54"/>
        <v>1</v>
      </c>
      <c r="L118" s="108">
        <f t="shared" si="54"/>
        <v>1</v>
      </c>
      <c r="M118" s="108">
        <f>(1-$E118)</f>
        <v>1</v>
      </c>
      <c r="N118" s="108">
        <f t="shared" si="54"/>
        <v>1</v>
      </c>
      <c r="O118" s="108">
        <f t="shared" si="54"/>
        <v>1</v>
      </c>
      <c r="P118" s="108">
        <f t="shared" si="54"/>
        <v>1</v>
      </c>
      <c r="Q118" s="108">
        <f t="shared" si="54"/>
        <v>1</v>
      </c>
      <c r="R118" s="108">
        <f t="shared" si="54"/>
        <v>1</v>
      </c>
      <c r="S118" s="108">
        <f t="shared" si="54"/>
        <v>1</v>
      </c>
      <c r="T118" s="108">
        <f t="shared" si="54"/>
        <v>1</v>
      </c>
      <c r="U118" s="108">
        <f t="shared" si="54"/>
        <v>1</v>
      </c>
      <c r="V118" s="108">
        <f t="shared" si="54"/>
        <v>1</v>
      </c>
      <c r="W118" s="108">
        <f t="shared" si="54"/>
        <v>1</v>
      </c>
      <c r="X118" s="108">
        <f t="shared" si="54"/>
        <v>1</v>
      </c>
      <c r="Y118" s="108">
        <f t="shared" si="54"/>
        <v>1</v>
      </c>
      <c r="Z118" s="108">
        <f t="shared" si="55"/>
        <v>1</v>
      </c>
      <c r="AA118" s="108">
        <f t="shared" si="55"/>
        <v>1</v>
      </c>
      <c r="AB118" s="108">
        <f t="shared" si="55"/>
        <v>1</v>
      </c>
      <c r="AC118" s="108">
        <f t="shared" si="55"/>
        <v>1</v>
      </c>
      <c r="AD118" s="108">
        <f t="shared" si="55"/>
        <v>1</v>
      </c>
      <c r="AE118" s="108">
        <f t="shared" si="55"/>
        <v>1</v>
      </c>
      <c r="AF118" s="108">
        <f t="shared" si="55"/>
        <v>1</v>
      </c>
      <c r="AG118" s="108">
        <f t="shared" si="55"/>
        <v>1</v>
      </c>
      <c r="AH118" s="108">
        <f t="shared" si="55"/>
        <v>1</v>
      </c>
      <c r="AI118" s="108">
        <f t="shared" si="55"/>
        <v>1</v>
      </c>
      <c r="AJ118" s="108">
        <f t="shared" si="55"/>
        <v>1</v>
      </c>
      <c r="AK118" s="108">
        <f t="shared" si="55"/>
        <v>1</v>
      </c>
      <c r="AL118" s="108">
        <f t="shared" si="55"/>
        <v>1</v>
      </c>
      <c r="AM118" s="108">
        <f t="shared" si="55"/>
        <v>1</v>
      </c>
      <c r="AN118" s="108">
        <f t="shared" si="55"/>
        <v>1</v>
      </c>
      <c r="AO118" s="108">
        <f t="shared" si="55"/>
        <v>1</v>
      </c>
      <c r="AP118" s="108">
        <f t="shared" si="55"/>
        <v>1</v>
      </c>
      <c r="AQ118" s="108">
        <f t="shared" si="55"/>
        <v>1</v>
      </c>
      <c r="AR118" s="108">
        <f t="shared" si="55"/>
        <v>1</v>
      </c>
      <c r="AS118" s="108">
        <f t="shared" si="55"/>
        <v>1</v>
      </c>
      <c r="AT118" s="108">
        <f t="shared" si="55"/>
        <v>1</v>
      </c>
      <c r="AU118" s="108">
        <f t="shared" si="55"/>
        <v>1</v>
      </c>
      <c r="AV118" s="108">
        <f t="shared" si="55"/>
        <v>1</v>
      </c>
    </row>
    <row r="119" spans="1:48">
      <c r="A119" s="185" t="s">
        <v>16</v>
      </c>
      <c r="B119" s="264" t="str">
        <f t="shared" si="56"/>
        <v>CNL</v>
      </c>
      <c r="C119" s="264" t="str">
        <f t="shared" si="56"/>
        <v>Commercial - Lighting</v>
      </c>
      <c r="E119" s="93">
        <v>0</v>
      </c>
      <c r="I119" s="151"/>
      <c r="J119" s="153">
        <f t="shared" si="54"/>
        <v>1</v>
      </c>
      <c r="K119" s="108">
        <f t="shared" si="54"/>
        <v>1</v>
      </c>
      <c r="L119" s="108">
        <f t="shared" si="54"/>
        <v>1</v>
      </c>
      <c r="M119" s="108">
        <f t="shared" si="54"/>
        <v>1</v>
      </c>
      <c r="N119" s="108">
        <f t="shared" si="54"/>
        <v>1</v>
      </c>
      <c r="O119" s="108">
        <f t="shared" si="54"/>
        <v>1</v>
      </c>
      <c r="P119" s="108">
        <f t="shared" si="54"/>
        <v>1</v>
      </c>
      <c r="Q119" s="108">
        <f t="shared" si="54"/>
        <v>1</v>
      </c>
      <c r="R119" s="108">
        <f t="shared" si="54"/>
        <v>1</v>
      </c>
      <c r="S119" s="108">
        <f t="shared" si="54"/>
        <v>1</v>
      </c>
      <c r="T119" s="108">
        <f t="shared" si="54"/>
        <v>1</v>
      </c>
      <c r="U119" s="108">
        <f t="shared" si="54"/>
        <v>1</v>
      </c>
      <c r="V119" s="108">
        <f t="shared" si="54"/>
        <v>1</v>
      </c>
      <c r="W119" s="108">
        <f t="shared" si="54"/>
        <v>1</v>
      </c>
      <c r="X119" s="108">
        <f t="shared" si="54"/>
        <v>1</v>
      </c>
      <c r="Y119" s="108">
        <f t="shared" si="54"/>
        <v>1</v>
      </c>
      <c r="Z119" s="108">
        <f t="shared" si="55"/>
        <v>1</v>
      </c>
      <c r="AA119" s="108">
        <f t="shared" si="55"/>
        <v>1</v>
      </c>
      <c r="AB119" s="108">
        <f t="shared" si="55"/>
        <v>1</v>
      </c>
      <c r="AC119" s="108">
        <f t="shared" si="55"/>
        <v>1</v>
      </c>
      <c r="AD119" s="108">
        <f t="shared" si="55"/>
        <v>1</v>
      </c>
      <c r="AE119" s="108">
        <f t="shared" si="55"/>
        <v>1</v>
      </c>
      <c r="AF119" s="108">
        <f t="shared" si="55"/>
        <v>1</v>
      </c>
      <c r="AG119" s="108">
        <f t="shared" si="55"/>
        <v>1</v>
      </c>
      <c r="AH119" s="108">
        <f t="shared" si="55"/>
        <v>1</v>
      </c>
      <c r="AI119" s="108">
        <f t="shared" si="55"/>
        <v>1</v>
      </c>
      <c r="AJ119" s="108">
        <f t="shared" si="55"/>
        <v>1</v>
      </c>
      <c r="AK119" s="108">
        <f t="shared" si="55"/>
        <v>1</v>
      </c>
      <c r="AL119" s="108">
        <f t="shared" si="55"/>
        <v>1</v>
      </c>
      <c r="AM119" s="108">
        <f t="shared" si="55"/>
        <v>1</v>
      </c>
      <c r="AN119" s="108">
        <f t="shared" si="55"/>
        <v>1</v>
      </c>
      <c r="AO119" s="108">
        <f t="shared" si="55"/>
        <v>1</v>
      </c>
      <c r="AP119" s="108">
        <f t="shared" si="55"/>
        <v>1</v>
      </c>
      <c r="AQ119" s="108">
        <f t="shared" si="55"/>
        <v>1</v>
      </c>
      <c r="AR119" s="108">
        <f t="shared" si="55"/>
        <v>1</v>
      </c>
      <c r="AS119" s="108">
        <f t="shared" si="55"/>
        <v>1</v>
      </c>
      <c r="AT119" s="108">
        <f t="shared" si="55"/>
        <v>1</v>
      </c>
      <c r="AU119" s="108">
        <f t="shared" si="55"/>
        <v>1</v>
      </c>
      <c r="AV119" s="108">
        <f t="shared" si="55"/>
        <v>1</v>
      </c>
    </row>
    <row r="120" spans="1:48">
      <c r="A120" s="185" t="s">
        <v>16</v>
      </c>
      <c r="B120" s="264" t="str">
        <f t="shared" si="56"/>
        <v>CNR</v>
      </c>
      <c r="C120" s="264" t="str">
        <f t="shared" si="56"/>
        <v>Commercial - Refrigeration</v>
      </c>
      <c r="E120" s="93">
        <v>0</v>
      </c>
      <c r="I120" s="151"/>
      <c r="J120" s="153">
        <f t="shared" si="54"/>
        <v>1</v>
      </c>
      <c r="K120" s="108">
        <f t="shared" si="54"/>
        <v>1</v>
      </c>
      <c r="L120" s="108">
        <f t="shared" si="54"/>
        <v>1</v>
      </c>
      <c r="M120" s="108">
        <f t="shared" si="54"/>
        <v>1</v>
      </c>
      <c r="N120" s="108">
        <f t="shared" si="54"/>
        <v>1</v>
      </c>
      <c r="O120" s="108">
        <f t="shared" si="54"/>
        <v>1</v>
      </c>
      <c r="P120" s="108">
        <f t="shared" si="54"/>
        <v>1</v>
      </c>
      <c r="Q120" s="108">
        <f t="shared" si="54"/>
        <v>1</v>
      </c>
      <c r="R120" s="108">
        <f t="shared" si="54"/>
        <v>1</v>
      </c>
      <c r="S120" s="108">
        <f t="shared" si="54"/>
        <v>1</v>
      </c>
      <c r="T120" s="108">
        <f t="shared" si="54"/>
        <v>1</v>
      </c>
      <c r="U120" s="108">
        <f t="shared" si="54"/>
        <v>1</v>
      </c>
      <c r="V120" s="108">
        <f t="shared" si="54"/>
        <v>1</v>
      </c>
      <c r="W120" s="108">
        <f t="shared" si="54"/>
        <v>1</v>
      </c>
      <c r="X120" s="108">
        <f t="shared" si="54"/>
        <v>1</v>
      </c>
      <c r="Y120" s="108">
        <f t="shared" si="54"/>
        <v>1</v>
      </c>
      <c r="Z120" s="108">
        <f t="shared" si="55"/>
        <v>1</v>
      </c>
      <c r="AA120" s="108">
        <f t="shared" si="55"/>
        <v>1</v>
      </c>
      <c r="AB120" s="108">
        <f t="shared" si="55"/>
        <v>1</v>
      </c>
      <c r="AC120" s="108">
        <f t="shared" si="55"/>
        <v>1</v>
      </c>
      <c r="AD120" s="108">
        <f t="shared" si="55"/>
        <v>1</v>
      </c>
      <c r="AE120" s="108">
        <f t="shared" si="55"/>
        <v>1</v>
      </c>
      <c r="AF120" s="108">
        <f t="shared" si="55"/>
        <v>1</v>
      </c>
      <c r="AG120" s="108">
        <f t="shared" si="55"/>
        <v>1</v>
      </c>
      <c r="AH120" s="108">
        <f t="shared" si="55"/>
        <v>1</v>
      </c>
      <c r="AI120" s="108">
        <f t="shared" si="55"/>
        <v>1</v>
      </c>
      <c r="AJ120" s="108">
        <f t="shared" si="55"/>
        <v>1</v>
      </c>
      <c r="AK120" s="108">
        <f t="shared" si="55"/>
        <v>1</v>
      </c>
      <c r="AL120" s="108">
        <f t="shared" si="55"/>
        <v>1</v>
      </c>
      <c r="AM120" s="108">
        <f t="shared" si="55"/>
        <v>1</v>
      </c>
      <c r="AN120" s="108">
        <f t="shared" si="55"/>
        <v>1</v>
      </c>
      <c r="AO120" s="108">
        <f t="shared" si="55"/>
        <v>1</v>
      </c>
      <c r="AP120" s="108">
        <f t="shared" si="55"/>
        <v>1</v>
      </c>
      <c r="AQ120" s="108">
        <f t="shared" si="55"/>
        <v>1</v>
      </c>
      <c r="AR120" s="108">
        <f t="shared" si="55"/>
        <v>1</v>
      </c>
      <c r="AS120" s="108">
        <f t="shared" si="55"/>
        <v>1</v>
      </c>
      <c r="AT120" s="108">
        <f t="shared" si="55"/>
        <v>1</v>
      </c>
      <c r="AU120" s="108">
        <f t="shared" si="55"/>
        <v>1</v>
      </c>
      <c r="AV120" s="108">
        <f t="shared" si="55"/>
        <v>1</v>
      </c>
    </row>
    <row r="121" spans="1:48">
      <c r="A121" s="185" t="s">
        <v>16</v>
      </c>
      <c r="B121" s="264" t="str">
        <f t="shared" si="56"/>
        <v>CNW</v>
      </c>
      <c r="C121" s="264" t="str">
        <f t="shared" si="56"/>
        <v>Commercial - Water Heating</v>
      </c>
      <c r="E121" s="93">
        <v>0</v>
      </c>
      <c r="I121" s="151"/>
      <c r="J121" s="153">
        <f t="shared" si="54"/>
        <v>1</v>
      </c>
      <c r="K121" s="108">
        <f t="shared" si="54"/>
        <v>1</v>
      </c>
      <c r="L121" s="108">
        <f t="shared" si="54"/>
        <v>1</v>
      </c>
      <c r="M121" s="108">
        <f t="shared" si="54"/>
        <v>1</v>
      </c>
      <c r="N121" s="108">
        <f t="shared" si="54"/>
        <v>1</v>
      </c>
      <c r="O121" s="108">
        <f t="shared" si="54"/>
        <v>1</v>
      </c>
      <c r="P121" s="108">
        <f t="shared" si="54"/>
        <v>1</v>
      </c>
      <c r="Q121" s="108">
        <f t="shared" si="54"/>
        <v>1</v>
      </c>
      <c r="R121" s="108">
        <f t="shared" si="54"/>
        <v>1</v>
      </c>
      <c r="S121" s="108">
        <f t="shared" si="54"/>
        <v>1</v>
      </c>
      <c r="T121" s="108">
        <f t="shared" si="54"/>
        <v>1</v>
      </c>
      <c r="U121" s="108">
        <f t="shared" si="54"/>
        <v>1</v>
      </c>
      <c r="V121" s="108">
        <f t="shared" si="54"/>
        <v>1</v>
      </c>
      <c r="W121" s="108">
        <f t="shared" si="54"/>
        <v>1</v>
      </c>
      <c r="X121" s="108">
        <f t="shared" si="54"/>
        <v>1</v>
      </c>
      <c r="Y121" s="108">
        <f t="shared" si="54"/>
        <v>1</v>
      </c>
      <c r="Z121" s="108">
        <f t="shared" si="55"/>
        <v>1</v>
      </c>
      <c r="AA121" s="108">
        <f t="shared" si="55"/>
        <v>1</v>
      </c>
      <c r="AB121" s="108">
        <f t="shared" si="55"/>
        <v>1</v>
      </c>
      <c r="AC121" s="108">
        <f t="shared" si="55"/>
        <v>1</v>
      </c>
      <c r="AD121" s="108">
        <f t="shared" si="55"/>
        <v>1</v>
      </c>
      <c r="AE121" s="108">
        <f t="shared" si="55"/>
        <v>1</v>
      </c>
      <c r="AF121" s="108">
        <f t="shared" si="55"/>
        <v>1</v>
      </c>
      <c r="AG121" s="108">
        <f t="shared" si="55"/>
        <v>1</v>
      </c>
      <c r="AH121" s="108">
        <f t="shared" si="55"/>
        <v>1</v>
      </c>
      <c r="AI121" s="108">
        <f t="shared" si="55"/>
        <v>1</v>
      </c>
      <c r="AJ121" s="108">
        <f t="shared" si="55"/>
        <v>1</v>
      </c>
      <c r="AK121" s="108">
        <f t="shared" si="55"/>
        <v>1</v>
      </c>
      <c r="AL121" s="108">
        <f t="shared" si="55"/>
        <v>1</v>
      </c>
      <c r="AM121" s="108">
        <f t="shared" si="55"/>
        <v>1</v>
      </c>
      <c r="AN121" s="108">
        <f t="shared" si="55"/>
        <v>1</v>
      </c>
      <c r="AO121" s="108">
        <f t="shared" si="55"/>
        <v>1</v>
      </c>
      <c r="AP121" s="108">
        <f t="shared" si="55"/>
        <v>1</v>
      </c>
      <c r="AQ121" s="108">
        <f t="shared" si="55"/>
        <v>1</v>
      </c>
      <c r="AR121" s="108">
        <f t="shared" si="55"/>
        <v>1</v>
      </c>
      <c r="AS121" s="108">
        <f t="shared" si="55"/>
        <v>1</v>
      </c>
      <c r="AT121" s="108">
        <f t="shared" si="55"/>
        <v>1</v>
      </c>
      <c r="AU121" s="108">
        <f t="shared" si="55"/>
        <v>1</v>
      </c>
      <c r="AV121" s="108">
        <f t="shared" si="55"/>
        <v>1</v>
      </c>
    </row>
    <row r="122" spans="1:48">
      <c r="A122" s="185" t="s">
        <v>16</v>
      </c>
      <c r="B122" s="264" t="str">
        <f t="shared" si="56"/>
        <v>CNG</v>
      </c>
      <c r="C122" s="264" t="str">
        <f t="shared" si="56"/>
        <v>Commercial - Public lights</v>
      </c>
      <c r="E122" s="93">
        <v>0</v>
      </c>
      <c r="I122" s="151"/>
      <c r="J122" s="153">
        <f t="shared" si="54"/>
        <v>1</v>
      </c>
      <c r="K122" s="108">
        <f t="shared" si="54"/>
        <v>1</v>
      </c>
      <c r="L122" s="108">
        <f t="shared" si="54"/>
        <v>1</v>
      </c>
      <c r="M122" s="108">
        <f t="shared" si="54"/>
        <v>1</v>
      </c>
      <c r="N122" s="108">
        <f t="shared" si="54"/>
        <v>1</v>
      </c>
      <c r="O122" s="108">
        <f t="shared" si="54"/>
        <v>1</v>
      </c>
      <c r="P122" s="108">
        <f t="shared" si="54"/>
        <v>1</v>
      </c>
      <c r="Q122" s="108">
        <f t="shared" si="54"/>
        <v>1</v>
      </c>
      <c r="R122" s="108">
        <f t="shared" si="54"/>
        <v>1</v>
      </c>
      <c r="S122" s="108">
        <f t="shared" si="54"/>
        <v>1</v>
      </c>
      <c r="T122" s="108">
        <f t="shared" si="54"/>
        <v>1</v>
      </c>
      <c r="U122" s="108">
        <f t="shared" si="54"/>
        <v>1</v>
      </c>
      <c r="V122" s="108">
        <f t="shared" si="54"/>
        <v>1</v>
      </c>
      <c r="W122" s="108">
        <f t="shared" si="54"/>
        <v>1</v>
      </c>
      <c r="X122" s="108">
        <f t="shared" si="54"/>
        <v>1</v>
      </c>
      <c r="Y122" s="108">
        <f t="shared" si="54"/>
        <v>1</v>
      </c>
      <c r="Z122" s="108">
        <f t="shared" si="55"/>
        <v>1</v>
      </c>
      <c r="AA122" s="108">
        <f t="shared" si="55"/>
        <v>1</v>
      </c>
      <c r="AB122" s="108">
        <f t="shared" si="55"/>
        <v>1</v>
      </c>
      <c r="AC122" s="108">
        <f t="shared" si="55"/>
        <v>1</v>
      </c>
      <c r="AD122" s="108">
        <f t="shared" si="55"/>
        <v>1</v>
      </c>
      <c r="AE122" s="108">
        <f t="shared" si="55"/>
        <v>1</v>
      </c>
      <c r="AF122" s="108">
        <f t="shared" si="55"/>
        <v>1</v>
      </c>
      <c r="AG122" s="108">
        <f t="shared" si="55"/>
        <v>1</v>
      </c>
      <c r="AH122" s="108">
        <f t="shared" si="55"/>
        <v>1</v>
      </c>
      <c r="AI122" s="108">
        <f t="shared" si="55"/>
        <v>1</v>
      </c>
      <c r="AJ122" s="108">
        <f t="shared" si="55"/>
        <v>1</v>
      </c>
      <c r="AK122" s="108">
        <f t="shared" si="55"/>
        <v>1</v>
      </c>
      <c r="AL122" s="108">
        <f t="shared" si="55"/>
        <v>1</v>
      </c>
      <c r="AM122" s="108">
        <f t="shared" si="55"/>
        <v>1</v>
      </c>
      <c r="AN122" s="108">
        <f t="shared" si="55"/>
        <v>1</v>
      </c>
      <c r="AO122" s="108">
        <f t="shared" si="55"/>
        <v>1</v>
      </c>
      <c r="AP122" s="108">
        <f t="shared" si="55"/>
        <v>1</v>
      </c>
      <c r="AQ122" s="108">
        <f t="shared" si="55"/>
        <v>1</v>
      </c>
      <c r="AR122" s="108">
        <f t="shared" si="55"/>
        <v>1</v>
      </c>
      <c r="AS122" s="108">
        <f t="shared" si="55"/>
        <v>1</v>
      </c>
      <c r="AT122" s="108">
        <f t="shared" si="55"/>
        <v>1</v>
      </c>
      <c r="AU122" s="108">
        <f t="shared" si="55"/>
        <v>1</v>
      </c>
      <c r="AV122" s="108">
        <f t="shared" si="55"/>
        <v>1</v>
      </c>
    </row>
    <row r="123" spans="1:48">
      <c r="A123" s="185" t="s">
        <v>16</v>
      </c>
      <c r="B123" s="264" t="str">
        <f t="shared" si="56"/>
        <v>CNT</v>
      </c>
      <c r="C123" s="264" t="str">
        <f t="shared" si="56"/>
        <v>Commercial - Public Water</v>
      </c>
      <c r="E123" s="93">
        <v>0</v>
      </c>
      <c r="I123" s="151"/>
      <c r="J123" s="153">
        <f t="shared" si="54"/>
        <v>1</v>
      </c>
      <c r="K123" s="108">
        <f t="shared" si="54"/>
        <v>1</v>
      </c>
      <c r="L123" s="108">
        <f t="shared" si="54"/>
        <v>1</v>
      </c>
      <c r="M123" s="108">
        <f t="shared" si="54"/>
        <v>1</v>
      </c>
      <c r="N123" s="108">
        <f t="shared" si="54"/>
        <v>1</v>
      </c>
      <c r="O123" s="108">
        <f t="shared" si="54"/>
        <v>1</v>
      </c>
      <c r="P123" s="108">
        <f t="shared" si="54"/>
        <v>1</v>
      </c>
      <c r="Q123" s="108">
        <f t="shared" si="54"/>
        <v>1</v>
      </c>
      <c r="R123" s="108">
        <f t="shared" si="54"/>
        <v>1</v>
      </c>
      <c r="S123" s="108">
        <f t="shared" si="54"/>
        <v>1</v>
      </c>
      <c r="T123" s="108">
        <f t="shared" si="54"/>
        <v>1</v>
      </c>
      <c r="U123" s="108">
        <f t="shared" si="54"/>
        <v>1</v>
      </c>
      <c r="V123" s="108">
        <f t="shared" si="54"/>
        <v>1</v>
      </c>
      <c r="W123" s="108">
        <f t="shared" si="54"/>
        <v>1</v>
      </c>
      <c r="X123" s="108">
        <f t="shared" si="54"/>
        <v>1</v>
      </c>
      <c r="Y123" s="108">
        <f t="shared" si="54"/>
        <v>1</v>
      </c>
      <c r="Z123" s="108">
        <f t="shared" si="55"/>
        <v>1</v>
      </c>
      <c r="AA123" s="108">
        <f t="shared" si="55"/>
        <v>1</v>
      </c>
      <c r="AB123" s="108">
        <f t="shared" si="55"/>
        <v>1</v>
      </c>
      <c r="AC123" s="108">
        <f t="shared" si="55"/>
        <v>1</v>
      </c>
      <c r="AD123" s="108">
        <f t="shared" si="55"/>
        <v>1</v>
      </c>
      <c r="AE123" s="108">
        <f t="shared" si="55"/>
        <v>1</v>
      </c>
      <c r="AF123" s="108">
        <f t="shared" si="55"/>
        <v>1</v>
      </c>
      <c r="AG123" s="108">
        <f t="shared" si="55"/>
        <v>1</v>
      </c>
      <c r="AH123" s="108">
        <f t="shared" si="55"/>
        <v>1</v>
      </c>
      <c r="AI123" s="108">
        <f t="shared" si="55"/>
        <v>1</v>
      </c>
      <c r="AJ123" s="108">
        <f t="shared" si="55"/>
        <v>1</v>
      </c>
      <c r="AK123" s="108">
        <f t="shared" si="55"/>
        <v>1</v>
      </c>
      <c r="AL123" s="108">
        <f t="shared" si="55"/>
        <v>1</v>
      </c>
      <c r="AM123" s="108">
        <f t="shared" si="55"/>
        <v>1</v>
      </c>
      <c r="AN123" s="108">
        <f t="shared" si="55"/>
        <v>1</v>
      </c>
      <c r="AO123" s="108">
        <f t="shared" si="55"/>
        <v>1</v>
      </c>
      <c r="AP123" s="108">
        <f t="shared" si="55"/>
        <v>1</v>
      </c>
      <c r="AQ123" s="108">
        <f t="shared" si="55"/>
        <v>1</v>
      </c>
      <c r="AR123" s="108">
        <f t="shared" si="55"/>
        <v>1</v>
      </c>
      <c r="AS123" s="108">
        <f t="shared" si="55"/>
        <v>1</v>
      </c>
      <c r="AT123" s="108">
        <f t="shared" si="55"/>
        <v>1</v>
      </c>
      <c r="AU123" s="108">
        <f t="shared" si="55"/>
        <v>1</v>
      </c>
      <c r="AV123" s="108">
        <f t="shared" si="55"/>
        <v>1</v>
      </c>
    </row>
    <row r="124" spans="1:48">
      <c r="A124" s="185" t="s">
        <v>16</v>
      </c>
      <c r="B124" s="264" t="str">
        <f t="shared" si="56"/>
        <v>CNO</v>
      </c>
      <c r="C124" s="264" t="str">
        <f t="shared" si="56"/>
        <v>Commercial - Other</v>
      </c>
      <c r="E124" s="93">
        <v>0</v>
      </c>
      <c r="I124" s="151"/>
      <c r="J124" s="153">
        <f t="shared" si="54"/>
        <v>1</v>
      </c>
      <c r="K124" s="108">
        <f t="shared" si="54"/>
        <v>1</v>
      </c>
      <c r="L124" s="108">
        <f t="shared" si="54"/>
        <v>1</v>
      </c>
      <c r="M124" s="108">
        <f t="shared" si="54"/>
        <v>1</v>
      </c>
      <c r="N124" s="108">
        <f t="shared" si="54"/>
        <v>1</v>
      </c>
      <c r="O124" s="108">
        <f t="shared" si="54"/>
        <v>1</v>
      </c>
      <c r="P124" s="108">
        <f t="shared" si="54"/>
        <v>1</v>
      </c>
      <c r="Q124" s="108">
        <f t="shared" si="54"/>
        <v>1</v>
      </c>
      <c r="R124" s="108">
        <f t="shared" si="54"/>
        <v>1</v>
      </c>
      <c r="S124" s="108">
        <f t="shared" si="54"/>
        <v>1</v>
      </c>
      <c r="T124" s="108">
        <f t="shared" si="54"/>
        <v>1</v>
      </c>
      <c r="U124" s="108">
        <f t="shared" si="54"/>
        <v>1</v>
      </c>
      <c r="V124" s="108">
        <f t="shared" si="54"/>
        <v>1</v>
      </c>
      <c r="W124" s="108">
        <f t="shared" si="54"/>
        <v>1</v>
      </c>
      <c r="X124" s="108">
        <f t="shared" si="54"/>
        <v>1</v>
      </c>
      <c r="Y124" s="108">
        <f t="shared" si="54"/>
        <v>1</v>
      </c>
      <c r="Z124" s="108">
        <f t="shared" si="55"/>
        <v>1</v>
      </c>
      <c r="AA124" s="108">
        <f t="shared" si="55"/>
        <v>1</v>
      </c>
      <c r="AB124" s="108">
        <f t="shared" si="55"/>
        <v>1</v>
      </c>
      <c r="AC124" s="108">
        <f t="shared" si="55"/>
        <v>1</v>
      </c>
      <c r="AD124" s="108">
        <f t="shared" si="55"/>
        <v>1</v>
      </c>
      <c r="AE124" s="108">
        <f t="shared" si="55"/>
        <v>1</v>
      </c>
      <c r="AF124" s="108">
        <f t="shared" si="55"/>
        <v>1</v>
      </c>
      <c r="AG124" s="108">
        <f t="shared" si="55"/>
        <v>1</v>
      </c>
      <c r="AH124" s="108">
        <f t="shared" si="55"/>
        <v>1</v>
      </c>
      <c r="AI124" s="108">
        <f t="shared" si="55"/>
        <v>1</v>
      </c>
      <c r="AJ124" s="108">
        <f t="shared" si="55"/>
        <v>1</v>
      </c>
      <c r="AK124" s="108">
        <f t="shared" si="55"/>
        <v>1</v>
      </c>
      <c r="AL124" s="108">
        <f t="shared" si="55"/>
        <v>1</v>
      </c>
      <c r="AM124" s="108">
        <f t="shared" si="55"/>
        <v>1</v>
      </c>
      <c r="AN124" s="108">
        <f t="shared" si="55"/>
        <v>1</v>
      </c>
      <c r="AO124" s="108">
        <f t="shared" si="55"/>
        <v>1</v>
      </c>
      <c r="AP124" s="108">
        <f t="shared" si="55"/>
        <v>1</v>
      </c>
      <c r="AQ124" s="108">
        <f t="shared" si="55"/>
        <v>1</v>
      </c>
      <c r="AR124" s="108">
        <f t="shared" si="55"/>
        <v>1</v>
      </c>
      <c r="AS124" s="108">
        <f t="shared" si="55"/>
        <v>1</v>
      </c>
      <c r="AT124" s="108">
        <f t="shared" si="55"/>
        <v>1</v>
      </c>
      <c r="AU124" s="108">
        <f t="shared" si="55"/>
        <v>1</v>
      </c>
      <c r="AV124" s="108">
        <f t="shared" si="55"/>
        <v>1</v>
      </c>
    </row>
    <row r="125" spans="1:48">
      <c r="A125" s="185" t="s">
        <v>16</v>
      </c>
      <c r="B125" s="264"/>
      <c r="C125" s="264"/>
      <c r="I125" s="151"/>
      <c r="K125" s="87"/>
    </row>
    <row r="126" spans="1:48" ht="15.75" thickBot="1">
      <c r="A126" s="185" t="s">
        <v>16</v>
      </c>
      <c r="B126" s="264"/>
      <c r="C126" s="84" t="s">
        <v>259</v>
      </c>
      <c r="I126" s="151"/>
      <c r="K126" s="87"/>
    </row>
    <row r="127" spans="1:48">
      <c r="A127" s="185" t="s">
        <v>16</v>
      </c>
      <c r="B127" s="264" t="str">
        <f t="shared" ref="B127:C135" si="57">B116</f>
        <v>CNC</v>
      </c>
      <c r="C127" s="264" t="str">
        <f t="shared" si="57"/>
        <v>Commercial - Cooling</v>
      </c>
      <c r="E127" s="144">
        <f t="shared" ref="E127:E135" si="58">E116+$AX$106</f>
        <v>0.01</v>
      </c>
      <c r="I127" s="151"/>
      <c r="J127" s="154">
        <f t="shared" ref="J127:AV133" si="59">J116*(1-$E127)</f>
        <v>0.99</v>
      </c>
      <c r="K127" s="105">
        <f t="shared" si="59"/>
        <v>0.99</v>
      </c>
      <c r="L127" s="105">
        <f t="shared" si="59"/>
        <v>0.99</v>
      </c>
      <c r="M127" s="105">
        <f t="shared" si="59"/>
        <v>0.99</v>
      </c>
      <c r="N127" s="105">
        <f t="shared" si="59"/>
        <v>0.99</v>
      </c>
      <c r="O127" s="105">
        <f t="shared" si="59"/>
        <v>0.99</v>
      </c>
      <c r="P127" s="105">
        <f t="shared" si="59"/>
        <v>0.99</v>
      </c>
      <c r="Q127" s="105">
        <f t="shared" si="59"/>
        <v>0.99</v>
      </c>
      <c r="R127" s="105">
        <f t="shared" si="59"/>
        <v>0.99</v>
      </c>
      <c r="S127" s="105">
        <f t="shared" si="59"/>
        <v>0.99</v>
      </c>
      <c r="T127" s="105">
        <f t="shared" si="59"/>
        <v>0.99</v>
      </c>
      <c r="U127" s="105">
        <f t="shared" si="59"/>
        <v>0.99</v>
      </c>
      <c r="V127" s="105">
        <f t="shared" si="59"/>
        <v>0.99</v>
      </c>
      <c r="W127" s="105">
        <f t="shared" si="59"/>
        <v>0.99</v>
      </c>
      <c r="X127" s="105">
        <f t="shared" si="59"/>
        <v>0.99</v>
      </c>
      <c r="Y127" s="105">
        <f t="shared" si="59"/>
        <v>0.99</v>
      </c>
      <c r="Z127" s="105">
        <f t="shared" si="59"/>
        <v>0.99</v>
      </c>
      <c r="AA127" s="105">
        <f t="shared" si="59"/>
        <v>0.99</v>
      </c>
      <c r="AB127" s="105">
        <f t="shared" si="59"/>
        <v>0.99</v>
      </c>
      <c r="AC127" s="105">
        <f t="shared" si="59"/>
        <v>0.99</v>
      </c>
      <c r="AD127" s="105">
        <f t="shared" si="59"/>
        <v>0.99</v>
      </c>
      <c r="AE127" s="105">
        <f t="shared" si="59"/>
        <v>0.99</v>
      </c>
      <c r="AF127" s="105">
        <f t="shared" si="59"/>
        <v>0.99</v>
      </c>
      <c r="AG127" s="105">
        <f t="shared" si="59"/>
        <v>0.99</v>
      </c>
      <c r="AH127" s="105">
        <f t="shared" si="59"/>
        <v>0.99</v>
      </c>
      <c r="AI127" s="105">
        <f t="shared" si="59"/>
        <v>0.99</v>
      </c>
      <c r="AJ127" s="105">
        <f t="shared" si="59"/>
        <v>0.99</v>
      </c>
      <c r="AK127" s="105">
        <f t="shared" si="59"/>
        <v>0.99</v>
      </c>
      <c r="AL127" s="105">
        <f t="shared" si="59"/>
        <v>0.99</v>
      </c>
      <c r="AM127" s="105">
        <f t="shared" si="59"/>
        <v>0.99</v>
      </c>
      <c r="AN127" s="105">
        <f t="shared" si="59"/>
        <v>0.99</v>
      </c>
      <c r="AO127" s="105">
        <f t="shared" si="59"/>
        <v>0.99</v>
      </c>
      <c r="AP127" s="105">
        <f t="shared" si="59"/>
        <v>0.99</v>
      </c>
      <c r="AQ127" s="105">
        <f t="shared" si="59"/>
        <v>0.99</v>
      </c>
      <c r="AR127" s="105">
        <f t="shared" si="59"/>
        <v>0.99</v>
      </c>
      <c r="AS127" s="105">
        <f t="shared" si="59"/>
        <v>0.99</v>
      </c>
      <c r="AT127" s="105">
        <f t="shared" si="59"/>
        <v>0.99</v>
      </c>
      <c r="AU127" s="105">
        <f t="shared" si="59"/>
        <v>0.99</v>
      </c>
      <c r="AV127" s="105">
        <f t="shared" si="59"/>
        <v>0.99</v>
      </c>
    </row>
    <row r="128" spans="1:48">
      <c r="A128" s="185" t="s">
        <v>16</v>
      </c>
      <c r="B128" s="264" t="str">
        <f t="shared" si="57"/>
        <v>CNH</v>
      </c>
      <c r="C128" s="264" t="str">
        <f t="shared" si="57"/>
        <v>Commercial - Space Heating</v>
      </c>
      <c r="E128" s="144">
        <f t="shared" si="58"/>
        <v>0.01</v>
      </c>
      <c r="I128" s="151"/>
      <c r="J128" s="154">
        <f t="shared" si="59"/>
        <v>0.99</v>
      </c>
      <c r="K128" s="105">
        <f t="shared" si="59"/>
        <v>0.99</v>
      </c>
      <c r="L128" s="105">
        <f t="shared" si="59"/>
        <v>0.99</v>
      </c>
      <c r="M128" s="105">
        <f t="shared" si="59"/>
        <v>0.99</v>
      </c>
      <c r="N128" s="105">
        <f t="shared" si="59"/>
        <v>0.99</v>
      </c>
      <c r="O128" s="105">
        <f t="shared" si="59"/>
        <v>0.99</v>
      </c>
      <c r="P128" s="105">
        <f t="shared" si="59"/>
        <v>0.99</v>
      </c>
      <c r="Q128" s="105">
        <f t="shared" si="59"/>
        <v>0.99</v>
      </c>
      <c r="R128" s="105">
        <f t="shared" si="59"/>
        <v>0.99</v>
      </c>
      <c r="S128" s="105">
        <f t="shared" si="59"/>
        <v>0.99</v>
      </c>
      <c r="T128" s="105">
        <f t="shared" si="59"/>
        <v>0.99</v>
      </c>
      <c r="U128" s="105">
        <f t="shared" si="59"/>
        <v>0.99</v>
      </c>
      <c r="V128" s="105">
        <f t="shared" si="59"/>
        <v>0.99</v>
      </c>
      <c r="W128" s="105">
        <f t="shared" si="59"/>
        <v>0.99</v>
      </c>
      <c r="X128" s="105">
        <f t="shared" si="59"/>
        <v>0.99</v>
      </c>
      <c r="Y128" s="105">
        <f t="shared" si="59"/>
        <v>0.99</v>
      </c>
      <c r="Z128" s="105">
        <f t="shared" si="59"/>
        <v>0.99</v>
      </c>
      <c r="AA128" s="105">
        <f t="shared" si="59"/>
        <v>0.99</v>
      </c>
      <c r="AB128" s="105">
        <f t="shared" si="59"/>
        <v>0.99</v>
      </c>
      <c r="AC128" s="105">
        <f t="shared" si="59"/>
        <v>0.99</v>
      </c>
      <c r="AD128" s="105">
        <f t="shared" si="59"/>
        <v>0.99</v>
      </c>
      <c r="AE128" s="105">
        <f t="shared" si="59"/>
        <v>0.99</v>
      </c>
      <c r="AF128" s="105">
        <f t="shared" si="59"/>
        <v>0.99</v>
      </c>
      <c r="AG128" s="105">
        <f t="shared" si="59"/>
        <v>0.99</v>
      </c>
      <c r="AH128" s="105">
        <f t="shared" si="59"/>
        <v>0.99</v>
      </c>
      <c r="AI128" s="105">
        <f t="shared" si="59"/>
        <v>0.99</v>
      </c>
      <c r="AJ128" s="105">
        <f t="shared" si="59"/>
        <v>0.99</v>
      </c>
      <c r="AK128" s="105">
        <f t="shared" si="59"/>
        <v>0.99</v>
      </c>
      <c r="AL128" s="105">
        <f t="shared" si="59"/>
        <v>0.99</v>
      </c>
      <c r="AM128" s="105">
        <f t="shared" si="59"/>
        <v>0.99</v>
      </c>
      <c r="AN128" s="105">
        <f t="shared" si="59"/>
        <v>0.99</v>
      </c>
      <c r="AO128" s="105">
        <f t="shared" si="59"/>
        <v>0.99</v>
      </c>
      <c r="AP128" s="105">
        <f t="shared" si="59"/>
        <v>0.99</v>
      </c>
      <c r="AQ128" s="105">
        <f t="shared" si="59"/>
        <v>0.99</v>
      </c>
      <c r="AR128" s="105">
        <f t="shared" si="59"/>
        <v>0.99</v>
      </c>
      <c r="AS128" s="105">
        <f t="shared" si="59"/>
        <v>0.99</v>
      </c>
      <c r="AT128" s="105">
        <f t="shared" si="59"/>
        <v>0.99</v>
      </c>
      <c r="AU128" s="105">
        <f t="shared" si="59"/>
        <v>0.99</v>
      </c>
      <c r="AV128" s="105">
        <f t="shared" si="59"/>
        <v>0.99</v>
      </c>
    </row>
    <row r="129" spans="1:48">
      <c r="A129" s="185" t="s">
        <v>16</v>
      </c>
      <c r="B129" s="264" t="str">
        <f t="shared" si="57"/>
        <v>CNK</v>
      </c>
      <c r="C129" s="264" t="str">
        <f t="shared" si="57"/>
        <v>Commercial - Cooking</v>
      </c>
      <c r="E129" s="144">
        <f t="shared" si="58"/>
        <v>0.01</v>
      </c>
      <c r="I129" s="151"/>
      <c r="J129" s="154">
        <f t="shared" si="59"/>
        <v>0.99</v>
      </c>
      <c r="K129" s="105">
        <f t="shared" si="59"/>
        <v>0.99</v>
      </c>
      <c r="L129" s="105">
        <f t="shared" si="59"/>
        <v>0.99</v>
      </c>
      <c r="M129" s="105">
        <f t="shared" si="59"/>
        <v>0.99</v>
      </c>
      <c r="N129" s="105">
        <f t="shared" si="59"/>
        <v>0.99</v>
      </c>
      <c r="O129" s="105">
        <f t="shared" si="59"/>
        <v>0.99</v>
      </c>
      <c r="P129" s="105">
        <f t="shared" si="59"/>
        <v>0.99</v>
      </c>
      <c r="Q129" s="105">
        <f t="shared" si="59"/>
        <v>0.99</v>
      </c>
      <c r="R129" s="105">
        <f t="shared" si="59"/>
        <v>0.99</v>
      </c>
      <c r="S129" s="105">
        <f t="shared" si="59"/>
        <v>0.99</v>
      </c>
      <c r="T129" s="105">
        <f t="shared" si="59"/>
        <v>0.99</v>
      </c>
      <c r="U129" s="105">
        <f t="shared" si="59"/>
        <v>0.99</v>
      </c>
      <c r="V129" s="105">
        <f t="shared" si="59"/>
        <v>0.99</v>
      </c>
      <c r="W129" s="105">
        <f t="shared" si="59"/>
        <v>0.99</v>
      </c>
      <c r="X129" s="105">
        <f t="shared" si="59"/>
        <v>0.99</v>
      </c>
      <c r="Y129" s="105">
        <f t="shared" si="59"/>
        <v>0.99</v>
      </c>
      <c r="Z129" s="105">
        <f t="shared" si="59"/>
        <v>0.99</v>
      </c>
      <c r="AA129" s="105">
        <f t="shared" si="59"/>
        <v>0.99</v>
      </c>
      <c r="AB129" s="105">
        <f t="shared" si="59"/>
        <v>0.99</v>
      </c>
      <c r="AC129" s="105">
        <f t="shared" si="59"/>
        <v>0.99</v>
      </c>
      <c r="AD129" s="105">
        <f t="shared" si="59"/>
        <v>0.99</v>
      </c>
      <c r="AE129" s="105">
        <f t="shared" si="59"/>
        <v>0.99</v>
      </c>
      <c r="AF129" s="105">
        <f t="shared" si="59"/>
        <v>0.99</v>
      </c>
      <c r="AG129" s="105">
        <f t="shared" si="59"/>
        <v>0.99</v>
      </c>
      <c r="AH129" s="105">
        <f t="shared" si="59"/>
        <v>0.99</v>
      </c>
      <c r="AI129" s="105">
        <f t="shared" si="59"/>
        <v>0.99</v>
      </c>
      <c r="AJ129" s="105">
        <f t="shared" si="59"/>
        <v>0.99</v>
      </c>
      <c r="AK129" s="105">
        <f t="shared" si="59"/>
        <v>0.99</v>
      </c>
      <c r="AL129" s="105">
        <f t="shared" si="59"/>
        <v>0.99</v>
      </c>
      <c r="AM129" s="105">
        <f t="shared" si="59"/>
        <v>0.99</v>
      </c>
      <c r="AN129" s="105">
        <f t="shared" si="59"/>
        <v>0.99</v>
      </c>
      <c r="AO129" s="105">
        <f t="shared" si="59"/>
        <v>0.99</v>
      </c>
      <c r="AP129" s="105">
        <f t="shared" si="59"/>
        <v>0.99</v>
      </c>
      <c r="AQ129" s="105">
        <f t="shared" si="59"/>
        <v>0.99</v>
      </c>
      <c r="AR129" s="105">
        <f t="shared" si="59"/>
        <v>0.99</v>
      </c>
      <c r="AS129" s="105">
        <f t="shared" si="59"/>
        <v>0.99</v>
      </c>
      <c r="AT129" s="105">
        <f t="shared" si="59"/>
        <v>0.99</v>
      </c>
      <c r="AU129" s="105">
        <f t="shared" si="59"/>
        <v>0.99</v>
      </c>
      <c r="AV129" s="105">
        <f t="shared" si="59"/>
        <v>0.99</v>
      </c>
    </row>
    <row r="130" spans="1:48">
      <c r="A130" s="185" t="s">
        <v>16</v>
      </c>
      <c r="B130" s="264" t="str">
        <f t="shared" si="57"/>
        <v>CNL</v>
      </c>
      <c r="C130" s="264" t="str">
        <f t="shared" si="57"/>
        <v>Commercial - Lighting</v>
      </c>
      <c r="E130" s="144">
        <f t="shared" si="58"/>
        <v>0.01</v>
      </c>
      <c r="I130" s="151"/>
      <c r="J130" s="154">
        <f t="shared" si="59"/>
        <v>0.99</v>
      </c>
      <c r="K130" s="105">
        <f t="shared" si="59"/>
        <v>0.99</v>
      </c>
      <c r="L130" s="105">
        <f t="shared" si="59"/>
        <v>0.99</v>
      </c>
      <c r="M130" s="105">
        <f t="shared" si="59"/>
        <v>0.99</v>
      </c>
      <c r="N130" s="105">
        <f t="shared" si="59"/>
        <v>0.99</v>
      </c>
      <c r="O130" s="105">
        <f t="shared" si="59"/>
        <v>0.99</v>
      </c>
      <c r="P130" s="105">
        <f t="shared" si="59"/>
        <v>0.99</v>
      </c>
      <c r="Q130" s="105">
        <f t="shared" si="59"/>
        <v>0.99</v>
      </c>
      <c r="R130" s="105">
        <f t="shared" si="59"/>
        <v>0.99</v>
      </c>
      <c r="S130" s="105">
        <f t="shared" si="59"/>
        <v>0.99</v>
      </c>
      <c r="T130" s="105">
        <f t="shared" si="59"/>
        <v>0.99</v>
      </c>
      <c r="U130" s="105">
        <f t="shared" si="59"/>
        <v>0.99</v>
      </c>
      <c r="V130" s="105">
        <f t="shared" si="59"/>
        <v>0.99</v>
      </c>
      <c r="W130" s="105">
        <f t="shared" si="59"/>
        <v>0.99</v>
      </c>
      <c r="X130" s="105">
        <f t="shared" si="59"/>
        <v>0.99</v>
      </c>
      <c r="Y130" s="105">
        <f t="shared" si="59"/>
        <v>0.99</v>
      </c>
      <c r="Z130" s="105">
        <f t="shared" si="59"/>
        <v>0.99</v>
      </c>
      <c r="AA130" s="105">
        <f t="shared" si="59"/>
        <v>0.99</v>
      </c>
      <c r="AB130" s="105">
        <f t="shared" si="59"/>
        <v>0.99</v>
      </c>
      <c r="AC130" s="105">
        <f t="shared" si="59"/>
        <v>0.99</v>
      </c>
      <c r="AD130" s="105">
        <f t="shared" si="59"/>
        <v>0.99</v>
      </c>
      <c r="AE130" s="105">
        <f t="shared" si="59"/>
        <v>0.99</v>
      </c>
      <c r="AF130" s="105">
        <f t="shared" si="59"/>
        <v>0.99</v>
      </c>
      <c r="AG130" s="105">
        <f t="shared" si="59"/>
        <v>0.99</v>
      </c>
      <c r="AH130" s="105">
        <f t="shared" si="59"/>
        <v>0.99</v>
      </c>
      <c r="AI130" s="105">
        <f t="shared" si="59"/>
        <v>0.99</v>
      </c>
      <c r="AJ130" s="105">
        <f t="shared" si="59"/>
        <v>0.99</v>
      </c>
      <c r="AK130" s="105">
        <f t="shared" si="59"/>
        <v>0.99</v>
      </c>
      <c r="AL130" s="105">
        <f t="shared" si="59"/>
        <v>0.99</v>
      </c>
      <c r="AM130" s="105">
        <f t="shared" si="59"/>
        <v>0.99</v>
      </c>
      <c r="AN130" s="105">
        <f t="shared" si="59"/>
        <v>0.99</v>
      </c>
      <c r="AO130" s="105">
        <f t="shared" si="59"/>
        <v>0.99</v>
      </c>
      <c r="AP130" s="105">
        <f t="shared" si="59"/>
        <v>0.99</v>
      </c>
      <c r="AQ130" s="105">
        <f t="shared" si="59"/>
        <v>0.99</v>
      </c>
      <c r="AR130" s="105">
        <f t="shared" si="59"/>
        <v>0.99</v>
      </c>
      <c r="AS130" s="105">
        <f t="shared" si="59"/>
        <v>0.99</v>
      </c>
      <c r="AT130" s="105">
        <f t="shared" si="59"/>
        <v>0.99</v>
      </c>
      <c r="AU130" s="105">
        <f t="shared" si="59"/>
        <v>0.99</v>
      </c>
      <c r="AV130" s="105">
        <f t="shared" si="59"/>
        <v>0.99</v>
      </c>
    </row>
    <row r="131" spans="1:48">
      <c r="A131" s="185" t="s">
        <v>16</v>
      </c>
      <c r="B131" s="264" t="str">
        <f t="shared" si="57"/>
        <v>CNR</v>
      </c>
      <c r="C131" s="264" t="str">
        <f t="shared" si="57"/>
        <v>Commercial - Refrigeration</v>
      </c>
      <c r="E131" s="144">
        <f t="shared" si="58"/>
        <v>0.01</v>
      </c>
      <c r="H131" s="264"/>
      <c r="I131" s="151"/>
      <c r="J131" s="154">
        <f t="shared" si="59"/>
        <v>0.99</v>
      </c>
      <c r="K131" s="105">
        <f t="shared" si="59"/>
        <v>0.99</v>
      </c>
      <c r="L131" s="105">
        <f t="shared" si="59"/>
        <v>0.99</v>
      </c>
      <c r="M131" s="105">
        <f t="shared" si="59"/>
        <v>0.99</v>
      </c>
      <c r="N131" s="105">
        <f>N120*(1-$E131)</f>
        <v>0.99</v>
      </c>
      <c r="O131" s="105">
        <f t="shared" si="59"/>
        <v>0.99</v>
      </c>
      <c r="P131" s="105">
        <f t="shared" si="59"/>
        <v>0.99</v>
      </c>
      <c r="Q131" s="105">
        <f t="shared" si="59"/>
        <v>0.99</v>
      </c>
      <c r="R131" s="105">
        <f t="shared" si="59"/>
        <v>0.99</v>
      </c>
      <c r="S131" s="105">
        <f t="shared" si="59"/>
        <v>0.99</v>
      </c>
      <c r="T131" s="105">
        <f t="shared" si="59"/>
        <v>0.99</v>
      </c>
      <c r="U131" s="105">
        <f t="shared" si="59"/>
        <v>0.99</v>
      </c>
      <c r="V131" s="105">
        <f t="shared" si="59"/>
        <v>0.99</v>
      </c>
      <c r="W131" s="105">
        <f t="shared" si="59"/>
        <v>0.99</v>
      </c>
      <c r="X131" s="105">
        <f t="shared" si="59"/>
        <v>0.99</v>
      </c>
      <c r="Y131" s="105">
        <f t="shared" si="59"/>
        <v>0.99</v>
      </c>
      <c r="Z131" s="105">
        <f t="shared" si="59"/>
        <v>0.99</v>
      </c>
      <c r="AA131" s="105">
        <f t="shared" si="59"/>
        <v>0.99</v>
      </c>
      <c r="AB131" s="105">
        <f t="shared" si="59"/>
        <v>0.99</v>
      </c>
      <c r="AC131" s="105">
        <f t="shared" si="59"/>
        <v>0.99</v>
      </c>
      <c r="AD131" s="105">
        <f t="shared" si="59"/>
        <v>0.99</v>
      </c>
      <c r="AE131" s="105">
        <f t="shared" si="59"/>
        <v>0.99</v>
      </c>
      <c r="AF131" s="105">
        <f t="shared" si="59"/>
        <v>0.99</v>
      </c>
      <c r="AG131" s="105">
        <f t="shared" si="59"/>
        <v>0.99</v>
      </c>
      <c r="AH131" s="105">
        <f t="shared" si="59"/>
        <v>0.99</v>
      </c>
      <c r="AI131" s="105">
        <f t="shared" si="59"/>
        <v>0.99</v>
      </c>
      <c r="AJ131" s="105">
        <f t="shared" si="59"/>
        <v>0.99</v>
      </c>
      <c r="AK131" s="105">
        <f t="shared" si="59"/>
        <v>0.99</v>
      </c>
      <c r="AL131" s="105">
        <f t="shared" si="59"/>
        <v>0.99</v>
      </c>
      <c r="AM131" s="105">
        <f t="shared" si="59"/>
        <v>0.99</v>
      </c>
      <c r="AN131" s="105">
        <f t="shared" si="59"/>
        <v>0.99</v>
      </c>
      <c r="AO131" s="105">
        <f t="shared" si="59"/>
        <v>0.99</v>
      </c>
      <c r="AP131" s="105">
        <f t="shared" si="59"/>
        <v>0.99</v>
      </c>
      <c r="AQ131" s="105">
        <f t="shared" si="59"/>
        <v>0.99</v>
      </c>
      <c r="AR131" s="105">
        <f t="shared" si="59"/>
        <v>0.99</v>
      </c>
      <c r="AS131" s="105">
        <f t="shared" si="59"/>
        <v>0.99</v>
      </c>
      <c r="AT131" s="105">
        <f t="shared" si="59"/>
        <v>0.99</v>
      </c>
      <c r="AU131" s="105">
        <f t="shared" si="59"/>
        <v>0.99</v>
      </c>
      <c r="AV131" s="105">
        <f t="shared" si="59"/>
        <v>0.99</v>
      </c>
    </row>
    <row r="132" spans="1:48">
      <c r="A132" s="185" t="s">
        <v>16</v>
      </c>
      <c r="B132" s="264" t="str">
        <f t="shared" si="57"/>
        <v>CNW</v>
      </c>
      <c r="C132" s="264" t="str">
        <f t="shared" si="57"/>
        <v>Commercial - Water Heating</v>
      </c>
      <c r="E132" s="144">
        <f t="shared" si="58"/>
        <v>0.01</v>
      </c>
      <c r="I132" s="151"/>
      <c r="J132" s="154">
        <f t="shared" si="59"/>
        <v>0.99</v>
      </c>
      <c r="K132" s="105">
        <f t="shared" si="59"/>
        <v>0.99</v>
      </c>
      <c r="L132" s="105">
        <f t="shared" si="59"/>
        <v>0.99</v>
      </c>
      <c r="M132" s="105">
        <f t="shared" si="59"/>
        <v>0.99</v>
      </c>
      <c r="N132" s="105">
        <f t="shared" si="59"/>
        <v>0.99</v>
      </c>
      <c r="O132" s="105">
        <f t="shared" si="59"/>
        <v>0.99</v>
      </c>
      <c r="P132" s="105">
        <f t="shared" si="59"/>
        <v>0.99</v>
      </c>
      <c r="Q132" s="105">
        <f t="shared" si="59"/>
        <v>0.99</v>
      </c>
      <c r="R132" s="105">
        <f t="shared" si="59"/>
        <v>0.99</v>
      </c>
      <c r="S132" s="105">
        <f t="shared" si="59"/>
        <v>0.99</v>
      </c>
      <c r="T132" s="105">
        <f t="shared" si="59"/>
        <v>0.99</v>
      </c>
      <c r="U132" s="105">
        <f t="shared" si="59"/>
        <v>0.99</v>
      </c>
      <c r="V132" s="105">
        <f t="shared" si="59"/>
        <v>0.99</v>
      </c>
      <c r="W132" s="105">
        <f t="shared" si="59"/>
        <v>0.99</v>
      </c>
      <c r="X132" s="105">
        <f t="shared" si="59"/>
        <v>0.99</v>
      </c>
      <c r="Y132" s="105">
        <f t="shared" si="59"/>
        <v>0.99</v>
      </c>
      <c r="Z132" s="105">
        <f t="shared" si="59"/>
        <v>0.99</v>
      </c>
      <c r="AA132" s="105">
        <f t="shared" si="59"/>
        <v>0.99</v>
      </c>
      <c r="AB132" s="105">
        <f t="shared" si="59"/>
        <v>0.99</v>
      </c>
      <c r="AC132" s="105">
        <f t="shared" si="59"/>
        <v>0.99</v>
      </c>
      <c r="AD132" s="105">
        <f t="shared" si="59"/>
        <v>0.99</v>
      </c>
      <c r="AE132" s="105">
        <f t="shared" si="59"/>
        <v>0.99</v>
      </c>
      <c r="AF132" s="105">
        <f t="shared" si="59"/>
        <v>0.99</v>
      </c>
      <c r="AG132" s="105">
        <f t="shared" si="59"/>
        <v>0.99</v>
      </c>
      <c r="AH132" s="105">
        <f t="shared" si="59"/>
        <v>0.99</v>
      </c>
      <c r="AI132" s="105">
        <f t="shared" si="59"/>
        <v>0.99</v>
      </c>
      <c r="AJ132" s="105">
        <f t="shared" si="59"/>
        <v>0.99</v>
      </c>
      <c r="AK132" s="105">
        <f t="shared" si="59"/>
        <v>0.99</v>
      </c>
      <c r="AL132" s="105">
        <f t="shared" si="59"/>
        <v>0.99</v>
      </c>
      <c r="AM132" s="105">
        <f t="shared" si="59"/>
        <v>0.99</v>
      </c>
      <c r="AN132" s="105">
        <f t="shared" si="59"/>
        <v>0.99</v>
      </c>
      <c r="AO132" s="105">
        <f t="shared" si="59"/>
        <v>0.99</v>
      </c>
      <c r="AP132" s="105">
        <f t="shared" si="59"/>
        <v>0.99</v>
      </c>
      <c r="AQ132" s="105">
        <f t="shared" si="59"/>
        <v>0.99</v>
      </c>
      <c r="AR132" s="105">
        <f t="shared" si="59"/>
        <v>0.99</v>
      </c>
      <c r="AS132" s="105">
        <f t="shared" si="59"/>
        <v>0.99</v>
      </c>
      <c r="AT132" s="105">
        <f t="shared" si="59"/>
        <v>0.99</v>
      </c>
      <c r="AU132" s="105">
        <f t="shared" si="59"/>
        <v>0.99</v>
      </c>
      <c r="AV132" s="105">
        <f t="shared" si="59"/>
        <v>0.99</v>
      </c>
    </row>
    <row r="133" spans="1:48">
      <c r="A133" s="185" t="s">
        <v>16</v>
      </c>
      <c r="B133" s="264" t="str">
        <f t="shared" si="57"/>
        <v>CNG</v>
      </c>
      <c r="C133" s="264" t="str">
        <f t="shared" si="57"/>
        <v>Commercial - Public lights</v>
      </c>
      <c r="E133" s="144">
        <f t="shared" si="58"/>
        <v>0.01</v>
      </c>
      <c r="I133" s="151"/>
      <c r="J133" s="154">
        <f t="shared" si="59"/>
        <v>0.99</v>
      </c>
      <c r="K133" s="105">
        <f t="shared" si="59"/>
        <v>0.99</v>
      </c>
      <c r="L133" s="105">
        <f t="shared" si="59"/>
        <v>0.99</v>
      </c>
      <c r="M133" s="105">
        <f t="shared" si="59"/>
        <v>0.99</v>
      </c>
      <c r="N133" s="105">
        <f t="shared" si="59"/>
        <v>0.99</v>
      </c>
      <c r="O133" s="105">
        <f t="shared" si="59"/>
        <v>0.99</v>
      </c>
      <c r="P133" s="105">
        <f t="shared" si="59"/>
        <v>0.99</v>
      </c>
      <c r="Q133" s="105">
        <f t="shared" si="59"/>
        <v>0.99</v>
      </c>
      <c r="R133" s="105">
        <f t="shared" si="59"/>
        <v>0.99</v>
      </c>
      <c r="S133" s="105">
        <f t="shared" si="59"/>
        <v>0.99</v>
      </c>
      <c r="T133" s="105">
        <f t="shared" si="59"/>
        <v>0.99</v>
      </c>
      <c r="U133" s="105">
        <f t="shared" si="59"/>
        <v>0.99</v>
      </c>
      <c r="V133" s="105">
        <f t="shared" si="59"/>
        <v>0.99</v>
      </c>
      <c r="W133" s="105">
        <f t="shared" si="59"/>
        <v>0.99</v>
      </c>
      <c r="X133" s="105">
        <f t="shared" si="59"/>
        <v>0.99</v>
      </c>
      <c r="Y133" s="105">
        <f t="shared" si="59"/>
        <v>0.99</v>
      </c>
      <c r="Z133" s="105">
        <f t="shared" si="59"/>
        <v>0.99</v>
      </c>
      <c r="AA133" s="105">
        <f t="shared" si="59"/>
        <v>0.99</v>
      </c>
      <c r="AB133" s="105">
        <f t="shared" si="59"/>
        <v>0.99</v>
      </c>
      <c r="AC133" s="105">
        <f t="shared" si="59"/>
        <v>0.99</v>
      </c>
      <c r="AD133" s="105">
        <f t="shared" si="59"/>
        <v>0.99</v>
      </c>
      <c r="AE133" s="105">
        <f t="shared" si="59"/>
        <v>0.99</v>
      </c>
      <c r="AF133" s="105">
        <f t="shared" ref="AF133:AV135" si="60">AF122*(1-$E133)</f>
        <v>0.99</v>
      </c>
      <c r="AG133" s="105">
        <f t="shared" si="60"/>
        <v>0.99</v>
      </c>
      <c r="AH133" s="105">
        <f t="shared" si="60"/>
        <v>0.99</v>
      </c>
      <c r="AI133" s="105">
        <f t="shared" si="60"/>
        <v>0.99</v>
      </c>
      <c r="AJ133" s="105">
        <f t="shared" si="60"/>
        <v>0.99</v>
      </c>
      <c r="AK133" s="105">
        <f t="shared" si="60"/>
        <v>0.99</v>
      </c>
      <c r="AL133" s="105">
        <f t="shared" si="60"/>
        <v>0.99</v>
      </c>
      <c r="AM133" s="105">
        <f t="shared" si="60"/>
        <v>0.99</v>
      </c>
      <c r="AN133" s="105">
        <f t="shared" si="60"/>
        <v>0.99</v>
      </c>
      <c r="AO133" s="105">
        <f t="shared" si="60"/>
        <v>0.99</v>
      </c>
      <c r="AP133" s="105">
        <f t="shared" si="60"/>
        <v>0.99</v>
      </c>
      <c r="AQ133" s="105">
        <f t="shared" si="60"/>
        <v>0.99</v>
      </c>
      <c r="AR133" s="105">
        <f t="shared" si="60"/>
        <v>0.99</v>
      </c>
      <c r="AS133" s="105">
        <f t="shared" si="60"/>
        <v>0.99</v>
      </c>
      <c r="AT133" s="105">
        <f t="shared" si="60"/>
        <v>0.99</v>
      </c>
      <c r="AU133" s="105">
        <f t="shared" si="60"/>
        <v>0.99</v>
      </c>
      <c r="AV133" s="105">
        <f t="shared" si="60"/>
        <v>0.99</v>
      </c>
    </row>
    <row r="134" spans="1:48">
      <c r="A134" s="185" t="s">
        <v>16</v>
      </c>
      <c r="B134" s="264" t="str">
        <f t="shared" si="57"/>
        <v>CNT</v>
      </c>
      <c r="C134" s="264" t="str">
        <f t="shared" si="57"/>
        <v>Commercial - Public Water</v>
      </c>
      <c r="E134" s="144">
        <f t="shared" si="58"/>
        <v>0.01</v>
      </c>
      <c r="I134" s="151"/>
      <c r="J134" s="154">
        <f t="shared" ref="J134:AV135" si="61">J123*(1-$E134)</f>
        <v>0.99</v>
      </c>
      <c r="K134" s="105">
        <f t="shared" si="61"/>
        <v>0.99</v>
      </c>
      <c r="L134" s="105">
        <f t="shared" si="61"/>
        <v>0.99</v>
      </c>
      <c r="M134" s="105">
        <f t="shared" si="61"/>
        <v>0.99</v>
      </c>
      <c r="N134" s="105">
        <f t="shared" si="61"/>
        <v>0.99</v>
      </c>
      <c r="O134" s="105">
        <f t="shared" si="61"/>
        <v>0.99</v>
      </c>
      <c r="P134" s="105">
        <f t="shared" si="61"/>
        <v>0.99</v>
      </c>
      <c r="Q134" s="105">
        <f t="shared" si="61"/>
        <v>0.99</v>
      </c>
      <c r="R134" s="105">
        <f t="shared" si="61"/>
        <v>0.99</v>
      </c>
      <c r="S134" s="105">
        <f t="shared" si="61"/>
        <v>0.99</v>
      </c>
      <c r="T134" s="105">
        <f t="shared" si="61"/>
        <v>0.99</v>
      </c>
      <c r="U134" s="105">
        <f t="shared" si="61"/>
        <v>0.99</v>
      </c>
      <c r="V134" s="105">
        <f t="shared" si="61"/>
        <v>0.99</v>
      </c>
      <c r="W134" s="105">
        <f t="shared" si="61"/>
        <v>0.99</v>
      </c>
      <c r="X134" s="105">
        <f t="shared" si="61"/>
        <v>0.99</v>
      </c>
      <c r="Y134" s="105">
        <f t="shared" si="61"/>
        <v>0.99</v>
      </c>
      <c r="Z134" s="105">
        <f t="shared" si="61"/>
        <v>0.99</v>
      </c>
      <c r="AA134" s="105">
        <f t="shared" si="61"/>
        <v>0.99</v>
      </c>
      <c r="AB134" s="105">
        <f t="shared" si="61"/>
        <v>0.99</v>
      </c>
      <c r="AC134" s="105">
        <f t="shared" si="61"/>
        <v>0.99</v>
      </c>
      <c r="AD134" s="105">
        <f t="shared" si="61"/>
        <v>0.99</v>
      </c>
      <c r="AE134" s="105">
        <f t="shared" si="61"/>
        <v>0.99</v>
      </c>
      <c r="AF134" s="105">
        <f t="shared" si="61"/>
        <v>0.99</v>
      </c>
      <c r="AG134" s="105">
        <f t="shared" si="61"/>
        <v>0.99</v>
      </c>
      <c r="AH134" s="105">
        <f t="shared" si="61"/>
        <v>0.99</v>
      </c>
      <c r="AI134" s="105">
        <f t="shared" si="60"/>
        <v>0.99</v>
      </c>
      <c r="AJ134" s="105">
        <f t="shared" si="60"/>
        <v>0.99</v>
      </c>
      <c r="AK134" s="105">
        <f t="shared" si="60"/>
        <v>0.99</v>
      </c>
      <c r="AL134" s="105">
        <f t="shared" si="60"/>
        <v>0.99</v>
      </c>
      <c r="AM134" s="105">
        <f t="shared" si="60"/>
        <v>0.99</v>
      </c>
      <c r="AN134" s="105">
        <f t="shared" si="60"/>
        <v>0.99</v>
      </c>
      <c r="AO134" s="105">
        <f t="shared" si="60"/>
        <v>0.99</v>
      </c>
      <c r="AP134" s="105">
        <f t="shared" si="60"/>
        <v>0.99</v>
      </c>
      <c r="AQ134" s="105">
        <f t="shared" si="60"/>
        <v>0.99</v>
      </c>
      <c r="AR134" s="105">
        <f t="shared" si="60"/>
        <v>0.99</v>
      </c>
      <c r="AS134" s="105">
        <f t="shared" si="61"/>
        <v>0.99</v>
      </c>
      <c r="AT134" s="105">
        <f t="shared" si="61"/>
        <v>0.99</v>
      </c>
      <c r="AU134" s="105">
        <f t="shared" si="61"/>
        <v>0.99</v>
      </c>
      <c r="AV134" s="105">
        <f t="shared" si="61"/>
        <v>0.99</v>
      </c>
    </row>
    <row r="135" spans="1:48">
      <c r="A135" s="185" t="s">
        <v>16</v>
      </c>
      <c r="B135" s="264" t="str">
        <f t="shared" si="57"/>
        <v>CNO</v>
      </c>
      <c r="C135" s="264" t="str">
        <f t="shared" si="57"/>
        <v>Commercial - Other</v>
      </c>
      <c r="E135" s="144">
        <f t="shared" si="58"/>
        <v>0.01</v>
      </c>
      <c r="I135" s="151"/>
      <c r="J135" s="154">
        <f t="shared" si="61"/>
        <v>0.99</v>
      </c>
      <c r="K135" s="105">
        <f t="shared" si="61"/>
        <v>0.99</v>
      </c>
      <c r="L135" s="105">
        <f t="shared" si="61"/>
        <v>0.99</v>
      </c>
      <c r="M135" s="105">
        <f t="shared" si="61"/>
        <v>0.99</v>
      </c>
      <c r="N135" s="105">
        <f t="shared" si="61"/>
        <v>0.99</v>
      </c>
      <c r="O135" s="105">
        <f t="shared" si="61"/>
        <v>0.99</v>
      </c>
      <c r="P135" s="105">
        <f t="shared" si="61"/>
        <v>0.99</v>
      </c>
      <c r="Q135" s="105">
        <f t="shared" si="61"/>
        <v>0.99</v>
      </c>
      <c r="R135" s="105">
        <f t="shared" si="61"/>
        <v>0.99</v>
      </c>
      <c r="S135" s="105">
        <f t="shared" si="61"/>
        <v>0.99</v>
      </c>
      <c r="T135" s="105">
        <f t="shared" si="61"/>
        <v>0.99</v>
      </c>
      <c r="U135" s="105">
        <f t="shared" si="61"/>
        <v>0.99</v>
      </c>
      <c r="V135" s="105">
        <f t="shared" si="61"/>
        <v>0.99</v>
      </c>
      <c r="W135" s="105">
        <f t="shared" si="61"/>
        <v>0.99</v>
      </c>
      <c r="X135" s="105">
        <f t="shared" si="61"/>
        <v>0.99</v>
      </c>
      <c r="Y135" s="105">
        <f t="shared" si="61"/>
        <v>0.99</v>
      </c>
      <c r="Z135" s="105">
        <f t="shared" si="61"/>
        <v>0.99</v>
      </c>
      <c r="AA135" s="105">
        <f t="shared" si="61"/>
        <v>0.99</v>
      </c>
      <c r="AB135" s="105">
        <f t="shared" si="61"/>
        <v>0.99</v>
      </c>
      <c r="AC135" s="105">
        <f t="shared" si="61"/>
        <v>0.99</v>
      </c>
      <c r="AD135" s="105">
        <f t="shared" si="61"/>
        <v>0.99</v>
      </c>
      <c r="AE135" s="105">
        <f t="shared" si="61"/>
        <v>0.99</v>
      </c>
      <c r="AF135" s="105">
        <f t="shared" si="61"/>
        <v>0.99</v>
      </c>
      <c r="AG135" s="105">
        <f t="shared" si="61"/>
        <v>0.99</v>
      </c>
      <c r="AH135" s="105">
        <f t="shared" si="61"/>
        <v>0.99</v>
      </c>
      <c r="AI135" s="105">
        <f t="shared" si="60"/>
        <v>0.99</v>
      </c>
      <c r="AJ135" s="105">
        <f t="shared" si="60"/>
        <v>0.99</v>
      </c>
      <c r="AK135" s="105">
        <f t="shared" si="60"/>
        <v>0.99</v>
      </c>
      <c r="AL135" s="105">
        <f t="shared" si="60"/>
        <v>0.99</v>
      </c>
      <c r="AM135" s="105">
        <f t="shared" si="60"/>
        <v>0.99</v>
      </c>
      <c r="AN135" s="105">
        <f t="shared" si="60"/>
        <v>0.99</v>
      </c>
      <c r="AO135" s="105">
        <f t="shared" si="60"/>
        <v>0.99</v>
      </c>
      <c r="AP135" s="105">
        <f t="shared" si="60"/>
        <v>0.99</v>
      </c>
      <c r="AQ135" s="105">
        <f t="shared" si="60"/>
        <v>0.99</v>
      </c>
      <c r="AR135" s="105">
        <f t="shared" si="60"/>
        <v>0.99</v>
      </c>
      <c r="AS135" s="105">
        <f t="shared" si="61"/>
        <v>0.99</v>
      </c>
      <c r="AT135" s="105">
        <f t="shared" si="61"/>
        <v>0.99</v>
      </c>
      <c r="AU135" s="105">
        <f t="shared" si="61"/>
        <v>0.99</v>
      </c>
      <c r="AV135" s="105">
        <f t="shared" si="61"/>
        <v>0.99</v>
      </c>
    </row>
    <row r="136" spans="1:48">
      <c r="A136" s="185" t="s">
        <v>16</v>
      </c>
      <c r="B136" s="264"/>
      <c r="C136" s="264"/>
      <c r="I136" s="151"/>
      <c r="K136" s="87"/>
    </row>
    <row r="137" spans="1:48" ht="15.75" thickBot="1">
      <c r="A137" s="185" t="s">
        <v>16</v>
      </c>
      <c r="B137" s="264"/>
      <c r="C137" s="84" t="s">
        <v>260</v>
      </c>
      <c r="I137" s="151"/>
      <c r="K137" s="87"/>
    </row>
    <row r="138" spans="1:48">
      <c r="A138" s="185" t="s">
        <v>16</v>
      </c>
      <c r="B138" s="264" t="str">
        <f t="shared" ref="B138:C146" si="62">B127</f>
        <v>CNC</v>
      </c>
      <c r="C138" s="264" t="str">
        <f t="shared" si="62"/>
        <v>Commercial - Cooling</v>
      </c>
      <c r="E138" s="144">
        <f t="shared" ref="E138:E146" si="63">E127+$AX$106</f>
        <v>0.02</v>
      </c>
      <c r="I138" s="151"/>
      <c r="J138" s="154">
        <f t="shared" ref="J138:AV144" si="64">J127*(1-$E138)</f>
        <v>0.97019999999999995</v>
      </c>
      <c r="K138" s="105">
        <f t="shared" si="64"/>
        <v>0.97019999999999995</v>
      </c>
      <c r="L138" s="105">
        <f t="shared" si="64"/>
        <v>0.97019999999999995</v>
      </c>
      <c r="M138" s="105">
        <f t="shared" si="64"/>
        <v>0.97019999999999995</v>
      </c>
      <c r="N138" s="105">
        <f t="shared" si="64"/>
        <v>0.97019999999999995</v>
      </c>
      <c r="O138" s="105">
        <f t="shared" si="64"/>
        <v>0.97019999999999995</v>
      </c>
      <c r="P138" s="105">
        <f t="shared" si="64"/>
        <v>0.97019999999999995</v>
      </c>
      <c r="Q138" s="105">
        <f t="shared" si="64"/>
        <v>0.97019999999999995</v>
      </c>
      <c r="R138" s="105">
        <f t="shared" si="64"/>
        <v>0.97019999999999995</v>
      </c>
      <c r="S138" s="105">
        <f t="shared" si="64"/>
        <v>0.97019999999999995</v>
      </c>
      <c r="T138" s="105">
        <f t="shared" si="64"/>
        <v>0.97019999999999995</v>
      </c>
      <c r="U138" s="105">
        <f t="shared" si="64"/>
        <v>0.97019999999999995</v>
      </c>
      <c r="V138" s="105">
        <f t="shared" si="64"/>
        <v>0.97019999999999995</v>
      </c>
      <c r="W138" s="105">
        <f t="shared" si="64"/>
        <v>0.97019999999999995</v>
      </c>
      <c r="X138" s="105">
        <f t="shared" si="64"/>
        <v>0.97019999999999995</v>
      </c>
      <c r="Y138" s="105">
        <f t="shared" si="64"/>
        <v>0.97019999999999995</v>
      </c>
      <c r="Z138" s="105">
        <f t="shared" si="64"/>
        <v>0.97019999999999995</v>
      </c>
      <c r="AA138" s="105">
        <f t="shared" si="64"/>
        <v>0.97019999999999995</v>
      </c>
      <c r="AB138" s="105">
        <f t="shared" si="64"/>
        <v>0.97019999999999995</v>
      </c>
      <c r="AC138" s="105">
        <f t="shared" si="64"/>
        <v>0.97019999999999995</v>
      </c>
      <c r="AD138" s="105">
        <f t="shared" si="64"/>
        <v>0.97019999999999995</v>
      </c>
      <c r="AE138" s="105">
        <f t="shared" si="64"/>
        <v>0.97019999999999995</v>
      </c>
      <c r="AF138" s="105">
        <f t="shared" si="64"/>
        <v>0.97019999999999995</v>
      </c>
      <c r="AG138" s="105">
        <f t="shared" si="64"/>
        <v>0.97019999999999995</v>
      </c>
      <c r="AH138" s="105">
        <f t="shared" si="64"/>
        <v>0.97019999999999995</v>
      </c>
      <c r="AI138" s="105">
        <f t="shared" si="64"/>
        <v>0.97019999999999995</v>
      </c>
      <c r="AJ138" s="105">
        <f t="shared" si="64"/>
        <v>0.97019999999999995</v>
      </c>
      <c r="AK138" s="105">
        <f t="shared" si="64"/>
        <v>0.97019999999999995</v>
      </c>
      <c r="AL138" s="105">
        <f t="shared" si="64"/>
        <v>0.97019999999999995</v>
      </c>
      <c r="AM138" s="105">
        <f t="shared" si="64"/>
        <v>0.97019999999999995</v>
      </c>
      <c r="AN138" s="105">
        <f t="shared" si="64"/>
        <v>0.97019999999999995</v>
      </c>
      <c r="AO138" s="105">
        <f t="shared" si="64"/>
        <v>0.97019999999999995</v>
      </c>
      <c r="AP138" s="105">
        <f t="shared" si="64"/>
        <v>0.97019999999999995</v>
      </c>
      <c r="AQ138" s="105">
        <f t="shared" si="64"/>
        <v>0.97019999999999995</v>
      </c>
      <c r="AR138" s="105">
        <f t="shared" si="64"/>
        <v>0.97019999999999995</v>
      </c>
      <c r="AS138" s="105">
        <f t="shared" si="64"/>
        <v>0.97019999999999995</v>
      </c>
      <c r="AT138" s="105">
        <f t="shared" si="64"/>
        <v>0.97019999999999995</v>
      </c>
      <c r="AU138" s="105">
        <f t="shared" si="64"/>
        <v>0.97019999999999995</v>
      </c>
      <c r="AV138" s="105">
        <f t="shared" si="64"/>
        <v>0.97019999999999995</v>
      </c>
    </row>
    <row r="139" spans="1:48">
      <c r="A139" s="185" t="s">
        <v>16</v>
      </c>
      <c r="B139" s="264" t="str">
        <f t="shared" si="62"/>
        <v>CNH</v>
      </c>
      <c r="C139" s="264" t="str">
        <f t="shared" si="62"/>
        <v>Commercial - Space Heating</v>
      </c>
      <c r="E139" s="144">
        <f t="shared" si="63"/>
        <v>0.02</v>
      </c>
      <c r="I139" s="151"/>
      <c r="J139" s="154">
        <f t="shared" si="64"/>
        <v>0.97019999999999995</v>
      </c>
      <c r="K139" s="105">
        <f t="shared" si="64"/>
        <v>0.97019999999999995</v>
      </c>
      <c r="L139" s="105">
        <f t="shared" si="64"/>
        <v>0.97019999999999995</v>
      </c>
      <c r="M139" s="105">
        <f t="shared" si="64"/>
        <v>0.97019999999999995</v>
      </c>
      <c r="N139" s="105">
        <f t="shared" si="64"/>
        <v>0.97019999999999995</v>
      </c>
      <c r="O139" s="105">
        <f t="shared" si="64"/>
        <v>0.97019999999999995</v>
      </c>
      <c r="P139" s="105">
        <f t="shared" si="64"/>
        <v>0.97019999999999995</v>
      </c>
      <c r="Q139" s="105">
        <f t="shared" si="64"/>
        <v>0.97019999999999995</v>
      </c>
      <c r="R139" s="105">
        <f t="shared" si="64"/>
        <v>0.97019999999999995</v>
      </c>
      <c r="S139" s="105">
        <f t="shared" si="64"/>
        <v>0.97019999999999995</v>
      </c>
      <c r="T139" s="105">
        <f t="shared" si="64"/>
        <v>0.97019999999999995</v>
      </c>
      <c r="U139" s="105">
        <f t="shared" si="64"/>
        <v>0.97019999999999995</v>
      </c>
      <c r="V139" s="105">
        <f t="shared" si="64"/>
        <v>0.97019999999999995</v>
      </c>
      <c r="W139" s="105">
        <f t="shared" si="64"/>
        <v>0.97019999999999995</v>
      </c>
      <c r="X139" s="105">
        <f t="shared" si="64"/>
        <v>0.97019999999999995</v>
      </c>
      <c r="Y139" s="105">
        <f t="shared" si="64"/>
        <v>0.97019999999999995</v>
      </c>
      <c r="Z139" s="105">
        <f t="shared" si="64"/>
        <v>0.97019999999999995</v>
      </c>
      <c r="AA139" s="105">
        <f t="shared" si="64"/>
        <v>0.97019999999999995</v>
      </c>
      <c r="AB139" s="105">
        <f t="shared" si="64"/>
        <v>0.97019999999999995</v>
      </c>
      <c r="AC139" s="105">
        <f t="shared" si="64"/>
        <v>0.97019999999999995</v>
      </c>
      <c r="AD139" s="105">
        <f t="shared" si="64"/>
        <v>0.97019999999999995</v>
      </c>
      <c r="AE139" s="105">
        <f t="shared" si="64"/>
        <v>0.97019999999999995</v>
      </c>
      <c r="AF139" s="105">
        <f t="shared" si="64"/>
        <v>0.97019999999999995</v>
      </c>
      <c r="AG139" s="105">
        <f t="shared" si="64"/>
        <v>0.97019999999999995</v>
      </c>
      <c r="AH139" s="105">
        <f t="shared" si="64"/>
        <v>0.97019999999999995</v>
      </c>
      <c r="AI139" s="105">
        <f t="shared" si="64"/>
        <v>0.97019999999999995</v>
      </c>
      <c r="AJ139" s="105">
        <f t="shared" si="64"/>
        <v>0.97019999999999995</v>
      </c>
      <c r="AK139" s="105">
        <f t="shared" si="64"/>
        <v>0.97019999999999995</v>
      </c>
      <c r="AL139" s="105">
        <f t="shared" si="64"/>
        <v>0.97019999999999995</v>
      </c>
      <c r="AM139" s="105">
        <f t="shared" si="64"/>
        <v>0.97019999999999995</v>
      </c>
      <c r="AN139" s="105">
        <f t="shared" si="64"/>
        <v>0.97019999999999995</v>
      </c>
      <c r="AO139" s="105">
        <f t="shared" si="64"/>
        <v>0.97019999999999995</v>
      </c>
      <c r="AP139" s="105">
        <f t="shared" si="64"/>
        <v>0.97019999999999995</v>
      </c>
      <c r="AQ139" s="105">
        <f t="shared" si="64"/>
        <v>0.97019999999999995</v>
      </c>
      <c r="AR139" s="105">
        <f t="shared" si="64"/>
        <v>0.97019999999999995</v>
      </c>
      <c r="AS139" s="105">
        <f t="shared" si="64"/>
        <v>0.97019999999999995</v>
      </c>
      <c r="AT139" s="105">
        <f t="shared" si="64"/>
        <v>0.97019999999999995</v>
      </c>
      <c r="AU139" s="105">
        <f t="shared" si="64"/>
        <v>0.97019999999999995</v>
      </c>
      <c r="AV139" s="105">
        <f t="shared" si="64"/>
        <v>0.97019999999999995</v>
      </c>
    </row>
    <row r="140" spans="1:48">
      <c r="A140" s="185" t="s">
        <v>16</v>
      </c>
      <c r="B140" s="264" t="str">
        <f t="shared" si="62"/>
        <v>CNK</v>
      </c>
      <c r="C140" s="264" t="str">
        <f t="shared" si="62"/>
        <v>Commercial - Cooking</v>
      </c>
      <c r="E140" s="144">
        <f t="shared" si="63"/>
        <v>0.02</v>
      </c>
      <c r="I140" s="151"/>
      <c r="J140" s="154">
        <f t="shared" si="64"/>
        <v>0.97019999999999995</v>
      </c>
      <c r="K140" s="105">
        <f t="shared" si="64"/>
        <v>0.97019999999999995</v>
      </c>
      <c r="L140" s="105">
        <f t="shared" si="64"/>
        <v>0.97019999999999995</v>
      </c>
      <c r="M140" s="105">
        <f t="shared" si="64"/>
        <v>0.97019999999999995</v>
      </c>
      <c r="N140" s="105">
        <f t="shared" si="64"/>
        <v>0.97019999999999995</v>
      </c>
      <c r="O140" s="105">
        <f t="shared" si="64"/>
        <v>0.97019999999999995</v>
      </c>
      <c r="P140" s="105">
        <f t="shared" si="64"/>
        <v>0.97019999999999995</v>
      </c>
      <c r="Q140" s="105">
        <f t="shared" si="64"/>
        <v>0.97019999999999995</v>
      </c>
      <c r="R140" s="105">
        <f t="shared" si="64"/>
        <v>0.97019999999999995</v>
      </c>
      <c r="S140" s="105">
        <f t="shared" si="64"/>
        <v>0.97019999999999995</v>
      </c>
      <c r="T140" s="105">
        <f t="shared" si="64"/>
        <v>0.97019999999999995</v>
      </c>
      <c r="U140" s="105">
        <f t="shared" si="64"/>
        <v>0.97019999999999995</v>
      </c>
      <c r="V140" s="105">
        <f t="shared" si="64"/>
        <v>0.97019999999999995</v>
      </c>
      <c r="W140" s="105">
        <f t="shared" si="64"/>
        <v>0.97019999999999995</v>
      </c>
      <c r="X140" s="105">
        <f t="shared" si="64"/>
        <v>0.97019999999999995</v>
      </c>
      <c r="Y140" s="105">
        <f t="shared" si="64"/>
        <v>0.97019999999999995</v>
      </c>
      <c r="Z140" s="105">
        <f t="shared" si="64"/>
        <v>0.97019999999999995</v>
      </c>
      <c r="AA140" s="105">
        <f t="shared" si="64"/>
        <v>0.97019999999999995</v>
      </c>
      <c r="AB140" s="105">
        <f t="shared" si="64"/>
        <v>0.97019999999999995</v>
      </c>
      <c r="AC140" s="105">
        <f t="shared" si="64"/>
        <v>0.97019999999999995</v>
      </c>
      <c r="AD140" s="105">
        <f t="shared" si="64"/>
        <v>0.97019999999999995</v>
      </c>
      <c r="AE140" s="105">
        <f t="shared" si="64"/>
        <v>0.97019999999999995</v>
      </c>
      <c r="AF140" s="105">
        <f t="shared" si="64"/>
        <v>0.97019999999999995</v>
      </c>
      <c r="AG140" s="105">
        <f t="shared" si="64"/>
        <v>0.97019999999999995</v>
      </c>
      <c r="AH140" s="105">
        <f t="shared" si="64"/>
        <v>0.97019999999999995</v>
      </c>
      <c r="AI140" s="105">
        <f t="shared" si="64"/>
        <v>0.97019999999999995</v>
      </c>
      <c r="AJ140" s="105">
        <f t="shared" si="64"/>
        <v>0.97019999999999995</v>
      </c>
      <c r="AK140" s="105">
        <f t="shared" si="64"/>
        <v>0.97019999999999995</v>
      </c>
      <c r="AL140" s="105">
        <f t="shared" si="64"/>
        <v>0.97019999999999995</v>
      </c>
      <c r="AM140" s="105">
        <f t="shared" si="64"/>
        <v>0.97019999999999995</v>
      </c>
      <c r="AN140" s="105">
        <f t="shared" si="64"/>
        <v>0.97019999999999995</v>
      </c>
      <c r="AO140" s="105">
        <f t="shared" si="64"/>
        <v>0.97019999999999995</v>
      </c>
      <c r="AP140" s="105">
        <f t="shared" si="64"/>
        <v>0.97019999999999995</v>
      </c>
      <c r="AQ140" s="105">
        <f t="shared" si="64"/>
        <v>0.97019999999999995</v>
      </c>
      <c r="AR140" s="105">
        <f t="shared" si="64"/>
        <v>0.97019999999999995</v>
      </c>
      <c r="AS140" s="105">
        <f t="shared" si="64"/>
        <v>0.97019999999999995</v>
      </c>
      <c r="AT140" s="105">
        <f t="shared" si="64"/>
        <v>0.97019999999999995</v>
      </c>
      <c r="AU140" s="105">
        <f t="shared" si="64"/>
        <v>0.97019999999999995</v>
      </c>
      <c r="AV140" s="105">
        <f t="shared" si="64"/>
        <v>0.97019999999999995</v>
      </c>
    </row>
    <row r="141" spans="1:48">
      <c r="A141" s="185" t="s">
        <v>16</v>
      </c>
      <c r="B141" s="264" t="str">
        <f t="shared" si="62"/>
        <v>CNL</v>
      </c>
      <c r="C141" s="264" t="str">
        <f t="shared" si="62"/>
        <v>Commercial - Lighting</v>
      </c>
      <c r="E141" s="144">
        <f t="shared" si="63"/>
        <v>0.02</v>
      </c>
      <c r="I141" s="151"/>
      <c r="J141" s="154">
        <f t="shared" si="64"/>
        <v>0.97019999999999995</v>
      </c>
      <c r="K141" s="105">
        <f t="shared" si="64"/>
        <v>0.97019999999999995</v>
      </c>
      <c r="L141" s="105">
        <f t="shared" si="64"/>
        <v>0.97019999999999995</v>
      </c>
      <c r="M141" s="105">
        <f t="shared" si="64"/>
        <v>0.97019999999999995</v>
      </c>
      <c r="N141" s="105">
        <f t="shared" si="64"/>
        <v>0.97019999999999995</v>
      </c>
      <c r="O141" s="105">
        <f t="shared" si="64"/>
        <v>0.97019999999999995</v>
      </c>
      <c r="P141" s="105">
        <f t="shared" si="64"/>
        <v>0.97019999999999995</v>
      </c>
      <c r="Q141" s="105">
        <f t="shared" si="64"/>
        <v>0.97019999999999995</v>
      </c>
      <c r="R141" s="105">
        <f t="shared" si="64"/>
        <v>0.97019999999999995</v>
      </c>
      <c r="S141" s="105">
        <f t="shared" si="64"/>
        <v>0.97019999999999995</v>
      </c>
      <c r="T141" s="105">
        <f t="shared" si="64"/>
        <v>0.97019999999999995</v>
      </c>
      <c r="U141" s="105">
        <f t="shared" si="64"/>
        <v>0.97019999999999995</v>
      </c>
      <c r="V141" s="105">
        <f t="shared" si="64"/>
        <v>0.97019999999999995</v>
      </c>
      <c r="W141" s="105">
        <f t="shared" si="64"/>
        <v>0.97019999999999995</v>
      </c>
      <c r="X141" s="105">
        <f t="shared" si="64"/>
        <v>0.97019999999999995</v>
      </c>
      <c r="Y141" s="105">
        <f t="shared" si="64"/>
        <v>0.97019999999999995</v>
      </c>
      <c r="Z141" s="105">
        <f t="shared" si="64"/>
        <v>0.97019999999999995</v>
      </c>
      <c r="AA141" s="105">
        <f t="shared" si="64"/>
        <v>0.97019999999999995</v>
      </c>
      <c r="AB141" s="105">
        <f t="shared" si="64"/>
        <v>0.97019999999999995</v>
      </c>
      <c r="AC141" s="105">
        <f t="shared" si="64"/>
        <v>0.97019999999999995</v>
      </c>
      <c r="AD141" s="105">
        <f t="shared" si="64"/>
        <v>0.97019999999999995</v>
      </c>
      <c r="AE141" s="105">
        <f t="shared" si="64"/>
        <v>0.97019999999999995</v>
      </c>
      <c r="AF141" s="105">
        <f t="shared" si="64"/>
        <v>0.97019999999999995</v>
      </c>
      <c r="AG141" s="105">
        <f t="shared" si="64"/>
        <v>0.97019999999999995</v>
      </c>
      <c r="AH141" s="105">
        <f t="shared" si="64"/>
        <v>0.97019999999999995</v>
      </c>
      <c r="AI141" s="105">
        <f t="shared" si="64"/>
        <v>0.97019999999999995</v>
      </c>
      <c r="AJ141" s="105">
        <f t="shared" si="64"/>
        <v>0.97019999999999995</v>
      </c>
      <c r="AK141" s="105">
        <f t="shared" si="64"/>
        <v>0.97019999999999995</v>
      </c>
      <c r="AL141" s="105">
        <f t="shared" si="64"/>
        <v>0.97019999999999995</v>
      </c>
      <c r="AM141" s="105">
        <f t="shared" si="64"/>
        <v>0.97019999999999995</v>
      </c>
      <c r="AN141" s="105">
        <f t="shared" si="64"/>
        <v>0.97019999999999995</v>
      </c>
      <c r="AO141" s="105">
        <f t="shared" si="64"/>
        <v>0.97019999999999995</v>
      </c>
      <c r="AP141" s="105">
        <f t="shared" si="64"/>
        <v>0.97019999999999995</v>
      </c>
      <c r="AQ141" s="105">
        <f t="shared" si="64"/>
        <v>0.97019999999999995</v>
      </c>
      <c r="AR141" s="105">
        <f t="shared" si="64"/>
        <v>0.97019999999999995</v>
      </c>
      <c r="AS141" s="105">
        <f t="shared" si="64"/>
        <v>0.97019999999999995</v>
      </c>
      <c r="AT141" s="105">
        <f t="shared" si="64"/>
        <v>0.97019999999999995</v>
      </c>
      <c r="AU141" s="105">
        <f t="shared" si="64"/>
        <v>0.97019999999999995</v>
      </c>
      <c r="AV141" s="105">
        <f t="shared" si="64"/>
        <v>0.97019999999999995</v>
      </c>
    </row>
    <row r="142" spans="1:48">
      <c r="A142" s="185" t="s">
        <v>16</v>
      </c>
      <c r="B142" s="264" t="str">
        <f t="shared" si="62"/>
        <v>CNR</v>
      </c>
      <c r="C142" s="264" t="str">
        <f t="shared" si="62"/>
        <v>Commercial - Refrigeration</v>
      </c>
      <c r="E142" s="144">
        <f t="shared" si="63"/>
        <v>0.02</v>
      </c>
      <c r="I142" s="151"/>
      <c r="J142" s="154">
        <f t="shared" si="64"/>
        <v>0.97019999999999995</v>
      </c>
      <c r="K142" s="105">
        <f t="shared" si="64"/>
        <v>0.97019999999999995</v>
      </c>
      <c r="L142" s="105">
        <f t="shared" si="64"/>
        <v>0.97019999999999995</v>
      </c>
      <c r="M142" s="105">
        <f t="shared" si="64"/>
        <v>0.97019999999999995</v>
      </c>
      <c r="N142" s="105">
        <f t="shared" si="64"/>
        <v>0.97019999999999995</v>
      </c>
      <c r="O142" s="105">
        <f t="shared" si="64"/>
        <v>0.97019999999999995</v>
      </c>
      <c r="P142" s="105">
        <f t="shared" si="64"/>
        <v>0.97019999999999995</v>
      </c>
      <c r="Q142" s="105">
        <f t="shared" si="64"/>
        <v>0.97019999999999995</v>
      </c>
      <c r="R142" s="105">
        <f t="shared" si="64"/>
        <v>0.97019999999999995</v>
      </c>
      <c r="S142" s="105">
        <f t="shared" si="64"/>
        <v>0.97019999999999995</v>
      </c>
      <c r="T142" s="105">
        <f t="shared" si="64"/>
        <v>0.97019999999999995</v>
      </c>
      <c r="U142" s="105">
        <f t="shared" si="64"/>
        <v>0.97019999999999995</v>
      </c>
      <c r="V142" s="105">
        <f t="shared" si="64"/>
        <v>0.97019999999999995</v>
      </c>
      <c r="W142" s="105">
        <f t="shared" si="64"/>
        <v>0.97019999999999995</v>
      </c>
      <c r="X142" s="105">
        <f t="shared" si="64"/>
        <v>0.97019999999999995</v>
      </c>
      <c r="Y142" s="105">
        <f t="shared" si="64"/>
        <v>0.97019999999999995</v>
      </c>
      <c r="Z142" s="105">
        <f t="shared" si="64"/>
        <v>0.97019999999999995</v>
      </c>
      <c r="AA142" s="105">
        <f t="shared" si="64"/>
        <v>0.97019999999999995</v>
      </c>
      <c r="AB142" s="105">
        <f t="shared" si="64"/>
        <v>0.97019999999999995</v>
      </c>
      <c r="AC142" s="105">
        <f t="shared" si="64"/>
        <v>0.97019999999999995</v>
      </c>
      <c r="AD142" s="105">
        <f t="shared" si="64"/>
        <v>0.97019999999999995</v>
      </c>
      <c r="AE142" s="105">
        <f t="shared" si="64"/>
        <v>0.97019999999999995</v>
      </c>
      <c r="AF142" s="105">
        <f t="shared" si="64"/>
        <v>0.97019999999999995</v>
      </c>
      <c r="AG142" s="105">
        <f t="shared" si="64"/>
        <v>0.97019999999999995</v>
      </c>
      <c r="AH142" s="105">
        <f t="shared" si="64"/>
        <v>0.97019999999999995</v>
      </c>
      <c r="AI142" s="105">
        <f t="shared" si="64"/>
        <v>0.97019999999999995</v>
      </c>
      <c r="AJ142" s="105">
        <f t="shared" si="64"/>
        <v>0.97019999999999995</v>
      </c>
      <c r="AK142" s="105">
        <f t="shared" si="64"/>
        <v>0.97019999999999995</v>
      </c>
      <c r="AL142" s="105">
        <f t="shared" si="64"/>
        <v>0.97019999999999995</v>
      </c>
      <c r="AM142" s="105">
        <f t="shared" si="64"/>
        <v>0.97019999999999995</v>
      </c>
      <c r="AN142" s="105">
        <f t="shared" si="64"/>
        <v>0.97019999999999995</v>
      </c>
      <c r="AO142" s="105">
        <f t="shared" si="64"/>
        <v>0.97019999999999995</v>
      </c>
      <c r="AP142" s="105">
        <f t="shared" si="64"/>
        <v>0.97019999999999995</v>
      </c>
      <c r="AQ142" s="105">
        <f t="shared" si="64"/>
        <v>0.97019999999999995</v>
      </c>
      <c r="AR142" s="105">
        <f t="shared" si="64"/>
        <v>0.97019999999999995</v>
      </c>
      <c r="AS142" s="105">
        <f t="shared" si="64"/>
        <v>0.97019999999999995</v>
      </c>
      <c r="AT142" s="105">
        <f t="shared" si="64"/>
        <v>0.97019999999999995</v>
      </c>
      <c r="AU142" s="105">
        <f t="shared" si="64"/>
        <v>0.97019999999999995</v>
      </c>
      <c r="AV142" s="105">
        <f t="shared" si="64"/>
        <v>0.97019999999999995</v>
      </c>
    </row>
    <row r="143" spans="1:48">
      <c r="A143" s="185" t="s">
        <v>16</v>
      </c>
      <c r="B143" s="264" t="str">
        <f t="shared" si="62"/>
        <v>CNW</v>
      </c>
      <c r="C143" s="264" t="str">
        <f t="shared" si="62"/>
        <v>Commercial - Water Heating</v>
      </c>
      <c r="E143" s="144">
        <f t="shared" si="63"/>
        <v>0.02</v>
      </c>
      <c r="I143" s="151"/>
      <c r="J143" s="154">
        <f t="shared" si="64"/>
        <v>0.97019999999999995</v>
      </c>
      <c r="K143" s="105">
        <f t="shared" si="64"/>
        <v>0.97019999999999995</v>
      </c>
      <c r="L143" s="105">
        <f t="shared" si="64"/>
        <v>0.97019999999999995</v>
      </c>
      <c r="M143" s="105">
        <f t="shared" si="64"/>
        <v>0.97019999999999995</v>
      </c>
      <c r="N143" s="105">
        <f t="shared" si="64"/>
        <v>0.97019999999999995</v>
      </c>
      <c r="O143" s="105">
        <f t="shared" si="64"/>
        <v>0.97019999999999995</v>
      </c>
      <c r="P143" s="105">
        <f t="shared" si="64"/>
        <v>0.97019999999999995</v>
      </c>
      <c r="Q143" s="105">
        <f t="shared" si="64"/>
        <v>0.97019999999999995</v>
      </c>
      <c r="R143" s="105">
        <f t="shared" si="64"/>
        <v>0.97019999999999995</v>
      </c>
      <c r="S143" s="105">
        <f t="shared" si="64"/>
        <v>0.97019999999999995</v>
      </c>
      <c r="T143" s="105">
        <f t="shared" si="64"/>
        <v>0.97019999999999995</v>
      </c>
      <c r="U143" s="105">
        <f t="shared" si="64"/>
        <v>0.97019999999999995</v>
      </c>
      <c r="V143" s="105">
        <f t="shared" si="64"/>
        <v>0.97019999999999995</v>
      </c>
      <c r="W143" s="105">
        <f t="shared" si="64"/>
        <v>0.97019999999999995</v>
      </c>
      <c r="X143" s="105">
        <f t="shared" si="64"/>
        <v>0.97019999999999995</v>
      </c>
      <c r="Y143" s="105">
        <f t="shared" si="64"/>
        <v>0.97019999999999995</v>
      </c>
      <c r="Z143" s="105">
        <f t="shared" si="64"/>
        <v>0.97019999999999995</v>
      </c>
      <c r="AA143" s="105">
        <f t="shared" si="64"/>
        <v>0.97019999999999995</v>
      </c>
      <c r="AB143" s="105">
        <f t="shared" si="64"/>
        <v>0.97019999999999995</v>
      </c>
      <c r="AC143" s="105">
        <f t="shared" si="64"/>
        <v>0.97019999999999995</v>
      </c>
      <c r="AD143" s="105">
        <f t="shared" si="64"/>
        <v>0.97019999999999995</v>
      </c>
      <c r="AE143" s="105">
        <f t="shared" si="64"/>
        <v>0.97019999999999995</v>
      </c>
      <c r="AF143" s="105">
        <f t="shared" si="64"/>
        <v>0.97019999999999995</v>
      </c>
      <c r="AG143" s="105">
        <f t="shared" si="64"/>
        <v>0.97019999999999995</v>
      </c>
      <c r="AH143" s="105">
        <f t="shared" si="64"/>
        <v>0.97019999999999995</v>
      </c>
      <c r="AI143" s="105">
        <f t="shared" si="64"/>
        <v>0.97019999999999995</v>
      </c>
      <c r="AJ143" s="105">
        <f t="shared" si="64"/>
        <v>0.97019999999999995</v>
      </c>
      <c r="AK143" s="105">
        <f t="shared" si="64"/>
        <v>0.97019999999999995</v>
      </c>
      <c r="AL143" s="105">
        <f t="shared" si="64"/>
        <v>0.97019999999999995</v>
      </c>
      <c r="AM143" s="105">
        <f t="shared" si="64"/>
        <v>0.97019999999999995</v>
      </c>
      <c r="AN143" s="105">
        <f t="shared" si="64"/>
        <v>0.97019999999999995</v>
      </c>
      <c r="AO143" s="105">
        <f t="shared" si="64"/>
        <v>0.97019999999999995</v>
      </c>
      <c r="AP143" s="105">
        <f t="shared" si="64"/>
        <v>0.97019999999999995</v>
      </c>
      <c r="AQ143" s="105">
        <f t="shared" si="64"/>
        <v>0.97019999999999995</v>
      </c>
      <c r="AR143" s="105">
        <f t="shared" si="64"/>
        <v>0.97019999999999995</v>
      </c>
      <c r="AS143" s="105">
        <f t="shared" si="64"/>
        <v>0.97019999999999995</v>
      </c>
      <c r="AT143" s="105">
        <f t="shared" si="64"/>
        <v>0.97019999999999995</v>
      </c>
      <c r="AU143" s="105">
        <f t="shared" si="64"/>
        <v>0.97019999999999995</v>
      </c>
      <c r="AV143" s="105">
        <f t="shared" si="64"/>
        <v>0.97019999999999995</v>
      </c>
    </row>
    <row r="144" spans="1:48">
      <c r="A144" s="185" t="s">
        <v>16</v>
      </c>
      <c r="B144" s="264" t="str">
        <f t="shared" si="62"/>
        <v>CNG</v>
      </c>
      <c r="C144" s="264" t="str">
        <f t="shared" si="62"/>
        <v>Commercial - Public lights</v>
      </c>
      <c r="E144" s="144">
        <f t="shared" si="63"/>
        <v>0.02</v>
      </c>
      <c r="I144" s="151"/>
      <c r="J144" s="154">
        <f t="shared" si="64"/>
        <v>0.97019999999999995</v>
      </c>
      <c r="K144" s="105">
        <f t="shared" si="64"/>
        <v>0.97019999999999995</v>
      </c>
      <c r="L144" s="105">
        <f t="shared" si="64"/>
        <v>0.97019999999999995</v>
      </c>
      <c r="M144" s="105">
        <f t="shared" si="64"/>
        <v>0.97019999999999995</v>
      </c>
      <c r="N144" s="105">
        <f t="shared" si="64"/>
        <v>0.97019999999999995</v>
      </c>
      <c r="O144" s="105">
        <f t="shared" si="64"/>
        <v>0.97019999999999995</v>
      </c>
      <c r="P144" s="105">
        <f t="shared" si="64"/>
        <v>0.97019999999999995</v>
      </c>
      <c r="Q144" s="105">
        <f t="shared" si="64"/>
        <v>0.97019999999999995</v>
      </c>
      <c r="R144" s="105">
        <f t="shared" si="64"/>
        <v>0.97019999999999995</v>
      </c>
      <c r="S144" s="105">
        <f t="shared" si="64"/>
        <v>0.97019999999999995</v>
      </c>
      <c r="T144" s="105">
        <f t="shared" si="64"/>
        <v>0.97019999999999995</v>
      </c>
      <c r="U144" s="105">
        <f t="shared" si="64"/>
        <v>0.97019999999999995</v>
      </c>
      <c r="V144" s="105">
        <f t="shared" si="64"/>
        <v>0.97019999999999995</v>
      </c>
      <c r="W144" s="105">
        <f t="shared" si="64"/>
        <v>0.97019999999999995</v>
      </c>
      <c r="X144" s="105">
        <f t="shared" si="64"/>
        <v>0.97019999999999995</v>
      </c>
      <c r="Y144" s="105">
        <f t="shared" si="64"/>
        <v>0.97019999999999995</v>
      </c>
      <c r="Z144" s="105">
        <f t="shared" si="64"/>
        <v>0.97019999999999995</v>
      </c>
      <c r="AA144" s="105">
        <f t="shared" si="64"/>
        <v>0.97019999999999995</v>
      </c>
      <c r="AB144" s="105">
        <f t="shared" si="64"/>
        <v>0.97019999999999995</v>
      </c>
      <c r="AC144" s="105">
        <f t="shared" si="64"/>
        <v>0.97019999999999995</v>
      </c>
      <c r="AD144" s="105">
        <f t="shared" si="64"/>
        <v>0.97019999999999995</v>
      </c>
      <c r="AE144" s="105">
        <f t="shared" ref="AE144:AV146" si="65">AE133*(1-$E144)</f>
        <v>0.97019999999999995</v>
      </c>
      <c r="AF144" s="105">
        <f t="shared" si="65"/>
        <v>0.97019999999999995</v>
      </c>
      <c r="AG144" s="105">
        <f t="shared" si="65"/>
        <v>0.97019999999999995</v>
      </c>
      <c r="AH144" s="105">
        <f t="shared" si="65"/>
        <v>0.97019999999999995</v>
      </c>
      <c r="AI144" s="105">
        <f t="shared" si="65"/>
        <v>0.97019999999999995</v>
      </c>
      <c r="AJ144" s="105">
        <f t="shared" si="65"/>
        <v>0.97019999999999995</v>
      </c>
      <c r="AK144" s="105">
        <f t="shared" si="65"/>
        <v>0.97019999999999995</v>
      </c>
      <c r="AL144" s="105">
        <f t="shared" si="65"/>
        <v>0.97019999999999995</v>
      </c>
      <c r="AM144" s="105">
        <f t="shared" si="65"/>
        <v>0.97019999999999995</v>
      </c>
      <c r="AN144" s="105">
        <f t="shared" si="65"/>
        <v>0.97019999999999995</v>
      </c>
      <c r="AO144" s="105">
        <f t="shared" si="65"/>
        <v>0.97019999999999995</v>
      </c>
      <c r="AP144" s="105">
        <f t="shared" si="65"/>
        <v>0.97019999999999995</v>
      </c>
      <c r="AQ144" s="105">
        <f t="shared" si="65"/>
        <v>0.97019999999999995</v>
      </c>
      <c r="AR144" s="105">
        <f t="shared" si="65"/>
        <v>0.97019999999999995</v>
      </c>
      <c r="AS144" s="105">
        <f t="shared" si="65"/>
        <v>0.97019999999999995</v>
      </c>
      <c r="AT144" s="105">
        <f t="shared" si="65"/>
        <v>0.97019999999999995</v>
      </c>
      <c r="AU144" s="105">
        <f t="shared" si="65"/>
        <v>0.97019999999999995</v>
      </c>
      <c r="AV144" s="105">
        <f t="shared" si="65"/>
        <v>0.97019999999999995</v>
      </c>
    </row>
    <row r="145" spans="1:48">
      <c r="A145" s="185" t="s">
        <v>16</v>
      </c>
      <c r="B145" s="264" t="str">
        <f t="shared" si="62"/>
        <v>CNT</v>
      </c>
      <c r="C145" s="264" t="str">
        <f t="shared" si="62"/>
        <v>Commercial - Public Water</v>
      </c>
      <c r="E145" s="144">
        <f t="shared" si="63"/>
        <v>0.02</v>
      </c>
      <c r="I145" s="151"/>
      <c r="J145" s="154">
        <f t="shared" ref="J145:AV146" si="66">J134*(1-$E145)</f>
        <v>0.97019999999999995</v>
      </c>
      <c r="K145" s="105">
        <f t="shared" si="66"/>
        <v>0.97019999999999995</v>
      </c>
      <c r="L145" s="105">
        <f t="shared" si="66"/>
        <v>0.97019999999999995</v>
      </c>
      <c r="M145" s="105">
        <f t="shared" si="66"/>
        <v>0.97019999999999995</v>
      </c>
      <c r="N145" s="105">
        <f t="shared" si="66"/>
        <v>0.97019999999999995</v>
      </c>
      <c r="O145" s="105">
        <f t="shared" si="66"/>
        <v>0.97019999999999995</v>
      </c>
      <c r="P145" s="105">
        <f t="shared" si="66"/>
        <v>0.97019999999999995</v>
      </c>
      <c r="Q145" s="105">
        <f t="shared" si="66"/>
        <v>0.97019999999999995</v>
      </c>
      <c r="R145" s="105">
        <f t="shared" si="66"/>
        <v>0.97019999999999995</v>
      </c>
      <c r="S145" s="105">
        <f t="shared" si="66"/>
        <v>0.97019999999999995</v>
      </c>
      <c r="T145" s="105">
        <f t="shared" si="66"/>
        <v>0.97019999999999995</v>
      </c>
      <c r="U145" s="105">
        <f t="shared" si="66"/>
        <v>0.97019999999999995</v>
      </c>
      <c r="V145" s="105">
        <f t="shared" si="66"/>
        <v>0.97019999999999995</v>
      </c>
      <c r="W145" s="105">
        <f t="shared" si="66"/>
        <v>0.97019999999999995</v>
      </c>
      <c r="X145" s="105">
        <f t="shared" si="66"/>
        <v>0.97019999999999995</v>
      </c>
      <c r="Y145" s="105">
        <f t="shared" si="66"/>
        <v>0.97019999999999995</v>
      </c>
      <c r="Z145" s="105">
        <f t="shared" si="66"/>
        <v>0.97019999999999995</v>
      </c>
      <c r="AA145" s="105">
        <f t="shared" si="66"/>
        <v>0.97019999999999995</v>
      </c>
      <c r="AB145" s="105">
        <f t="shared" si="66"/>
        <v>0.97019999999999995</v>
      </c>
      <c r="AC145" s="105">
        <f t="shared" si="66"/>
        <v>0.97019999999999995</v>
      </c>
      <c r="AD145" s="105">
        <f t="shared" si="66"/>
        <v>0.97019999999999995</v>
      </c>
      <c r="AE145" s="105">
        <f t="shared" si="66"/>
        <v>0.97019999999999995</v>
      </c>
      <c r="AF145" s="105">
        <f t="shared" si="66"/>
        <v>0.97019999999999995</v>
      </c>
      <c r="AG145" s="105">
        <f t="shared" si="66"/>
        <v>0.97019999999999995</v>
      </c>
      <c r="AH145" s="105">
        <f t="shared" si="66"/>
        <v>0.97019999999999995</v>
      </c>
      <c r="AI145" s="105">
        <f t="shared" si="65"/>
        <v>0.97019999999999995</v>
      </c>
      <c r="AJ145" s="105">
        <f t="shared" si="65"/>
        <v>0.97019999999999995</v>
      </c>
      <c r="AK145" s="105">
        <f t="shared" si="65"/>
        <v>0.97019999999999995</v>
      </c>
      <c r="AL145" s="105">
        <f t="shared" si="65"/>
        <v>0.97019999999999995</v>
      </c>
      <c r="AM145" s="105">
        <f t="shared" si="65"/>
        <v>0.97019999999999995</v>
      </c>
      <c r="AN145" s="105">
        <f t="shared" si="65"/>
        <v>0.97019999999999995</v>
      </c>
      <c r="AO145" s="105">
        <f t="shared" si="65"/>
        <v>0.97019999999999995</v>
      </c>
      <c r="AP145" s="105">
        <f t="shared" si="65"/>
        <v>0.97019999999999995</v>
      </c>
      <c r="AQ145" s="105">
        <f t="shared" si="65"/>
        <v>0.97019999999999995</v>
      </c>
      <c r="AR145" s="105">
        <f t="shared" si="65"/>
        <v>0.97019999999999995</v>
      </c>
      <c r="AS145" s="105">
        <f t="shared" si="66"/>
        <v>0.97019999999999995</v>
      </c>
      <c r="AT145" s="105">
        <f t="shared" si="66"/>
        <v>0.97019999999999995</v>
      </c>
      <c r="AU145" s="105">
        <f t="shared" si="66"/>
        <v>0.97019999999999995</v>
      </c>
      <c r="AV145" s="105">
        <f t="shared" si="66"/>
        <v>0.97019999999999995</v>
      </c>
    </row>
    <row r="146" spans="1:48">
      <c r="A146" s="185" t="s">
        <v>16</v>
      </c>
      <c r="B146" s="264" t="str">
        <f t="shared" si="62"/>
        <v>CNO</v>
      </c>
      <c r="C146" s="264" t="str">
        <f t="shared" si="62"/>
        <v>Commercial - Other</v>
      </c>
      <c r="E146" s="144">
        <f t="shared" si="63"/>
        <v>0.02</v>
      </c>
      <c r="I146" s="151"/>
      <c r="J146" s="154">
        <f t="shared" si="66"/>
        <v>0.97019999999999995</v>
      </c>
      <c r="K146" s="105">
        <f t="shared" si="66"/>
        <v>0.97019999999999995</v>
      </c>
      <c r="L146" s="105">
        <f t="shared" si="66"/>
        <v>0.97019999999999995</v>
      </c>
      <c r="M146" s="105">
        <f t="shared" si="66"/>
        <v>0.97019999999999995</v>
      </c>
      <c r="N146" s="105">
        <f t="shared" si="66"/>
        <v>0.97019999999999995</v>
      </c>
      <c r="O146" s="105">
        <f t="shared" si="66"/>
        <v>0.97019999999999995</v>
      </c>
      <c r="P146" s="105">
        <f t="shared" si="66"/>
        <v>0.97019999999999995</v>
      </c>
      <c r="Q146" s="105">
        <f t="shared" si="66"/>
        <v>0.97019999999999995</v>
      </c>
      <c r="R146" s="105">
        <f t="shared" si="66"/>
        <v>0.97019999999999995</v>
      </c>
      <c r="S146" s="105">
        <f t="shared" si="66"/>
        <v>0.97019999999999995</v>
      </c>
      <c r="T146" s="105">
        <f t="shared" si="66"/>
        <v>0.97019999999999995</v>
      </c>
      <c r="U146" s="105">
        <f t="shared" si="66"/>
        <v>0.97019999999999995</v>
      </c>
      <c r="V146" s="105">
        <f t="shared" si="66"/>
        <v>0.97019999999999995</v>
      </c>
      <c r="W146" s="105">
        <f t="shared" si="66"/>
        <v>0.97019999999999995</v>
      </c>
      <c r="X146" s="105">
        <f t="shared" si="66"/>
        <v>0.97019999999999995</v>
      </c>
      <c r="Y146" s="105">
        <f t="shared" si="66"/>
        <v>0.97019999999999995</v>
      </c>
      <c r="Z146" s="105">
        <f t="shared" si="66"/>
        <v>0.97019999999999995</v>
      </c>
      <c r="AA146" s="105">
        <f t="shared" si="66"/>
        <v>0.97019999999999995</v>
      </c>
      <c r="AB146" s="105">
        <f t="shared" si="66"/>
        <v>0.97019999999999995</v>
      </c>
      <c r="AC146" s="105">
        <f t="shared" si="66"/>
        <v>0.97019999999999995</v>
      </c>
      <c r="AD146" s="105">
        <f t="shared" si="66"/>
        <v>0.97019999999999995</v>
      </c>
      <c r="AE146" s="105">
        <f t="shared" si="66"/>
        <v>0.97019999999999995</v>
      </c>
      <c r="AF146" s="105">
        <f t="shared" si="66"/>
        <v>0.97019999999999995</v>
      </c>
      <c r="AG146" s="105">
        <f t="shared" si="66"/>
        <v>0.97019999999999995</v>
      </c>
      <c r="AH146" s="105">
        <f t="shared" si="66"/>
        <v>0.97019999999999995</v>
      </c>
      <c r="AI146" s="105">
        <f t="shared" si="65"/>
        <v>0.97019999999999995</v>
      </c>
      <c r="AJ146" s="105">
        <f t="shared" si="65"/>
        <v>0.97019999999999995</v>
      </c>
      <c r="AK146" s="105">
        <f t="shared" si="65"/>
        <v>0.97019999999999995</v>
      </c>
      <c r="AL146" s="105">
        <f t="shared" si="65"/>
        <v>0.97019999999999995</v>
      </c>
      <c r="AM146" s="105">
        <f t="shared" si="65"/>
        <v>0.97019999999999995</v>
      </c>
      <c r="AN146" s="105">
        <f t="shared" si="65"/>
        <v>0.97019999999999995</v>
      </c>
      <c r="AO146" s="105">
        <f t="shared" si="65"/>
        <v>0.97019999999999995</v>
      </c>
      <c r="AP146" s="105">
        <f t="shared" si="65"/>
        <v>0.97019999999999995</v>
      </c>
      <c r="AQ146" s="105">
        <f t="shared" si="65"/>
        <v>0.97019999999999995</v>
      </c>
      <c r="AR146" s="105">
        <f t="shared" si="65"/>
        <v>0.97019999999999995</v>
      </c>
      <c r="AS146" s="105">
        <f t="shared" si="66"/>
        <v>0.97019999999999995</v>
      </c>
      <c r="AT146" s="105">
        <f t="shared" si="66"/>
        <v>0.97019999999999995</v>
      </c>
      <c r="AU146" s="105">
        <f t="shared" si="66"/>
        <v>0.97019999999999995</v>
      </c>
      <c r="AV146" s="105">
        <f t="shared" si="66"/>
        <v>0.97019999999999995</v>
      </c>
    </row>
    <row r="147" spans="1:48">
      <c r="A147" s="185" t="s">
        <v>16</v>
      </c>
      <c r="I147" s="151"/>
      <c r="K147" s="87"/>
    </row>
    <row r="148" spans="1:48" ht="19.5" thickBot="1">
      <c r="A148" s="185" t="s">
        <v>16</v>
      </c>
      <c r="B148" s="160" t="s">
        <v>480</v>
      </c>
      <c r="C148" s="85"/>
      <c r="D148" s="85"/>
      <c r="E148" s="85"/>
      <c r="F148" s="85"/>
      <c r="G148" s="85"/>
      <c r="H148" s="85"/>
      <c r="I148" s="152"/>
      <c r="J148" s="85"/>
      <c r="K148" s="85"/>
      <c r="L148" s="85"/>
      <c r="M148" s="85"/>
      <c r="N148" s="85"/>
      <c r="O148" s="85"/>
      <c r="P148" s="85"/>
      <c r="Q148" s="85"/>
      <c r="R148" s="85"/>
      <c r="S148" s="85"/>
      <c r="T148" s="85"/>
      <c r="U148" s="85"/>
      <c r="V148" s="85"/>
      <c r="W148" s="85"/>
      <c r="X148" s="85"/>
      <c r="Y148" s="85"/>
      <c r="Z148" s="85"/>
      <c r="AA148" s="85"/>
      <c r="AB148" s="85"/>
      <c r="AC148" s="85"/>
      <c r="AD148" s="85"/>
      <c r="AE148" s="85"/>
      <c r="AF148" s="85"/>
      <c r="AG148" s="85"/>
      <c r="AH148" s="85"/>
      <c r="AI148" s="85"/>
      <c r="AJ148" s="85"/>
      <c r="AK148" s="85"/>
      <c r="AL148" s="85"/>
      <c r="AM148" s="85"/>
      <c r="AN148" s="85"/>
      <c r="AO148" s="85"/>
      <c r="AP148" s="85"/>
      <c r="AQ148" s="85"/>
      <c r="AR148" s="85"/>
      <c r="AS148" s="85"/>
      <c r="AT148" s="85"/>
      <c r="AU148" s="85"/>
      <c r="AV148" s="85"/>
    </row>
    <row r="149" spans="1:48">
      <c r="A149" s="185" t="s">
        <v>16</v>
      </c>
      <c r="B149" s="159"/>
      <c r="C149" s="159"/>
      <c r="D149" s="159"/>
      <c r="E149" s="159"/>
      <c r="F149" s="159"/>
      <c r="G149" s="159"/>
      <c r="H149" s="159"/>
      <c r="I149" s="158"/>
      <c r="K149" s="87"/>
    </row>
    <row r="150" spans="1:48" ht="15.75" thickBot="1">
      <c r="A150" s="185" t="s">
        <v>16</v>
      </c>
      <c r="B150" s="85" t="s">
        <v>494</v>
      </c>
      <c r="C150" s="159"/>
      <c r="D150" s="159"/>
      <c r="E150" s="159"/>
      <c r="F150" s="159"/>
      <c r="G150" s="159"/>
      <c r="H150" s="159"/>
      <c r="I150" s="158"/>
      <c r="K150" s="87"/>
    </row>
    <row r="151" spans="1:48">
      <c r="A151" s="185" t="s">
        <v>16</v>
      </c>
      <c r="B151" s="87" t="str">
        <f>B92</f>
        <v>CEC</v>
      </c>
      <c r="C151" s="87" t="str">
        <f>C92</f>
        <v>Commercial - Cooling</v>
      </c>
      <c r="D151" s="159"/>
      <c r="E151" s="159"/>
      <c r="F151" s="159"/>
      <c r="G151" s="159"/>
      <c r="H151" s="159"/>
      <c r="I151" s="158"/>
      <c r="J151" s="157">
        <f t="shared" ref="J151:AV157" si="67">J92*J$34/1000</f>
        <v>27.932878870776872</v>
      </c>
      <c r="K151" s="157">
        <f t="shared" si="67"/>
        <v>27.182413750658707</v>
      </c>
      <c r="L151" s="157">
        <f t="shared" si="67"/>
        <v>26.492003713185113</v>
      </c>
      <c r="M151" s="157">
        <f t="shared" si="67"/>
        <v>25.741064630366179</v>
      </c>
      <c r="N151" s="157">
        <f t="shared" si="67"/>
        <v>24.958206291803975</v>
      </c>
      <c r="O151" s="157">
        <f t="shared" si="67"/>
        <v>24.056668064799556</v>
      </c>
      <c r="P151" s="157">
        <f>P92*P$34/1000</f>
        <v>24.211751661334905</v>
      </c>
      <c r="Q151" s="157">
        <f>Q92*Q$34/1000</f>
        <v>24.393731912972637</v>
      </c>
      <c r="R151" s="157">
        <f t="shared" si="67"/>
        <v>24.393731912972637</v>
      </c>
      <c r="S151" s="157">
        <f t="shared" si="67"/>
        <v>24.645379254813385</v>
      </c>
      <c r="T151" s="157">
        <f t="shared" si="67"/>
        <v>24.890774477318448</v>
      </c>
      <c r="U151" s="157">
        <f t="shared" si="67"/>
        <v>25.132286595542755</v>
      </c>
      <c r="V151" s="157">
        <f t="shared" si="67"/>
        <v>25.366403804491135</v>
      </c>
      <c r="W151" s="157">
        <f t="shared" si="67"/>
        <v>25.606976389562348</v>
      </c>
      <c r="X151" s="157">
        <f t="shared" si="67"/>
        <v>25.886291728213781</v>
      </c>
      <c r="Y151" s="157">
        <f t="shared" si="67"/>
        <v>26.159407285428316</v>
      </c>
      <c r="Z151" s="157">
        <f t="shared" si="67"/>
        <v>26.441767078572298</v>
      </c>
      <c r="AA151" s="157">
        <f t="shared" si="67"/>
        <v>26.729936478963491</v>
      </c>
      <c r="AB151" s="157">
        <f t="shared" si="67"/>
        <v>27.023120814870442</v>
      </c>
      <c r="AC151" s="157">
        <f t="shared" si="67"/>
        <v>27.359923269024069</v>
      </c>
      <c r="AD151" s="157">
        <f t="shared" si="67"/>
        <v>27.686603926553946</v>
      </c>
      <c r="AE151" s="157">
        <f t="shared" si="67"/>
        <v>28.038798305568452</v>
      </c>
      <c r="AF151" s="157">
        <f t="shared" si="67"/>
        <v>28.410730932991513</v>
      </c>
      <c r="AG151" s="157">
        <f t="shared" si="67"/>
        <v>28.800279470274706</v>
      </c>
      <c r="AH151" s="157">
        <f t="shared" si="67"/>
        <v>29.201414230758864</v>
      </c>
      <c r="AI151" s="157">
        <f t="shared" si="67"/>
        <v>29.612087057844569</v>
      </c>
      <c r="AJ151" s="157">
        <f t="shared" si="67"/>
        <v>30.023137393082798</v>
      </c>
      <c r="AK151" s="157">
        <f t="shared" si="67"/>
        <v>30.444206695057506</v>
      </c>
      <c r="AL151" s="157">
        <f t="shared" si="67"/>
        <v>30.883769033617707</v>
      </c>
      <c r="AM151" s="157">
        <f t="shared" si="67"/>
        <v>31.374443142282082</v>
      </c>
      <c r="AN151" s="157">
        <f t="shared" si="67"/>
        <v>31.8556615937527</v>
      </c>
      <c r="AO151" s="157">
        <f t="shared" si="67"/>
        <v>32.327916811141947</v>
      </c>
      <c r="AP151" s="157">
        <f t="shared" si="67"/>
        <v>32.791660464789629</v>
      </c>
      <c r="AQ151" s="157">
        <f t="shared" si="67"/>
        <v>33.247308016940494</v>
      </c>
      <c r="AR151" s="157">
        <f t="shared" si="67"/>
        <v>33.807722390308861</v>
      </c>
      <c r="AS151" s="157">
        <f t="shared" si="67"/>
        <v>34.356703168221074</v>
      </c>
      <c r="AT151" s="157">
        <f t="shared" si="67"/>
        <v>34.894879498222302</v>
      </c>
      <c r="AU151" s="157">
        <f t="shared" si="67"/>
        <v>35.422825611860688</v>
      </c>
      <c r="AV151" s="157">
        <f t="shared" si="67"/>
        <v>35.977702085098613</v>
      </c>
    </row>
    <row r="152" spans="1:48">
      <c r="A152" s="185" t="s">
        <v>16</v>
      </c>
      <c r="B152" s="87" t="str">
        <f t="shared" ref="B152:C159" si="68">B93</f>
        <v>CEH</v>
      </c>
      <c r="C152" s="87" t="str">
        <f t="shared" si="68"/>
        <v>Commercial - Space Heating</v>
      </c>
      <c r="D152" s="159"/>
      <c r="E152" s="159"/>
      <c r="F152" s="159"/>
      <c r="G152" s="159"/>
      <c r="H152" s="159"/>
      <c r="I152" s="158"/>
      <c r="J152" s="157">
        <f t="shared" si="67"/>
        <v>1.5703509815003798</v>
      </c>
      <c r="K152" s="157">
        <f t="shared" si="67"/>
        <v>1.7096291700728525</v>
      </c>
      <c r="L152" s="157">
        <f t="shared" si="67"/>
        <v>1.8565924579200153</v>
      </c>
      <c r="M152" s="157">
        <f t="shared" si="67"/>
        <v>2.0036670914771593</v>
      </c>
      <c r="N152" s="157">
        <f t="shared" si="67"/>
        <v>2.1523940814942852</v>
      </c>
      <c r="O152" s="157">
        <f t="shared" si="67"/>
        <v>2.2941963422736769</v>
      </c>
      <c r="P152" s="157">
        <f t="shared" si="67"/>
        <v>2.3089860969878235</v>
      </c>
      <c r="Q152" s="157">
        <f t="shared" si="67"/>
        <v>2.3263408872085125</v>
      </c>
      <c r="R152" s="157">
        <f t="shared" si="67"/>
        <v>2.3263408872085125</v>
      </c>
      <c r="S152" s="157">
        <f t="shared" si="67"/>
        <v>2.350339572713871</v>
      </c>
      <c r="T152" s="157">
        <f t="shared" si="67"/>
        <v>2.3737420164922898</v>
      </c>
      <c r="U152" s="157">
        <f t="shared" si="67"/>
        <v>2.3967741428346621</v>
      </c>
      <c r="V152" s="157">
        <f t="shared" si="67"/>
        <v>2.4191010437581779</v>
      </c>
      <c r="W152" s="157">
        <f t="shared" si="67"/>
        <v>2.4420435702641359</v>
      </c>
      <c r="X152" s="157">
        <f t="shared" si="67"/>
        <v>2.4686808513102463</v>
      </c>
      <c r="Y152" s="157">
        <f t="shared" si="67"/>
        <v>2.4947268819031714</v>
      </c>
      <c r="Z152" s="157">
        <f t="shared" si="67"/>
        <v>2.5216545014260077</v>
      </c>
      <c r="AA152" s="157">
        <f t="shared" si="67"/>
        <v>2.5491361619183035</v>
      </c>
      <c r="AB152" s="157">
        <f t="shared" si="67"/>
        <v>2.5770960784469712</v>
      </c>
      <c r="AC152" s="157">
        <f t="shared" si="67"/>
        <v>2.6092156951913479</v>
      </c>
      <c r="AD152" s="157">
        <f t="shared" si="67"/>
        <v>2.6403700332558633</v>
      </c>
      <c r="AE152" s="157">
        <f t="shared" si="67"/>
        <v>2.6739575215118419</v>
      </c>
      <c r="AF152" s="157">
        <f t="shared" si="67"/>
        <v>2.7094273742407315</v>
      </c>
      <c r="AG152" s="157">
        <f t="shared" si="67"/>
        <v>2.7465771917867805</v>
      </c>
      <c r="AH152" s="157">
        <f t="shared" si="67"/>
        <v>2.7848319450129</v>
      </c>
      <c r="AI152" s="157">
        <f t="shared" si="67"/>
        <v>2.8239963087241748</v>
      </c>
      <c r="AJ152" s="157">
        <f t="shared" si="67"/>
        <v>2.8631966740055907</v>
      </c>
      <c r="AK152" s="157">
        <f t="shared" si="67"/>
        <v>2.9033525114570624</v>
      </c>
      <c r="AL152" s="157">
        <f t="shared" si="67"/>
        <v>2.9452719620896155</v>
      </c>
      <c r="AM152" s="157">
        <f t="shared" si="67"/>
        <v>2.9920657550751608</v>
      </c>
      <c r="AN152" s="157">
        <f t="shared" si="67"/>
        <v>3.0379577966590037</v>
      </c>
      <c r="AO152" s="157">
        <f t="shared" si="67"/>
        <v>3.0829950474302108</v>
      </c>
      <c r="AP152" s="157">
        <f t="shared" si="67"/>
        <v>3.1272205815351573</v>
      </c>
      <c r="AQ152" s="157">
        <f t="shared" si="67"/>
        <v>3.1706740200867758</v>
      </c>
      <c r="AR152" s="157">
        <f t="shared" si="67"/>
        <v>3.2241186867411979</v>
      </c>
      <c r="AS152" s="157">
        <f t="shared" si="67"/>
        <v>3.2764729732646773</v>
      </c>
      <c r="AT152" s="157">
        <f t="shared" si="67"/>
        <v>3.3277968791547754</v>
      </c>
      <c r="AU152" s="157">
        <f t="shared" si="67"/>
        <v>3.3781451667715077</v>
      </c>
      <c r="AV152" s="157">
        <f t="shared" si="67"/>
        <v>3.4310617041692555</v>
      </c>
    </row>
    <row r="153" spans="1:48">
      <c r="A153" s="185" t="s">
        <v>16</v>
      </c>
      <c r="B153" s="87" t="str">
        <f t="shared" si="68"/>
        <v>CEK</v>
      </c>
      <c r="C153" s="87" t="str">
        <f t="shared" si="68"/>
        <v>Commercial - Cooking</v>
      </c>
      <c r="D153" s="159"/>
      <c r="E153" s="159"/>
      <c r="F153" s="159"/>
      <c r="G153" s="159"/>
      <c r="H153" s="159"/>
      <c r="I153" s="158"/>
      <c r="J153" s="157">
        <f t="shared" si="67"/>
        <v>1.9788999513059524</v>
      </c>
      <c r="K153" s="157">
        <f t="shared" si="67"/>
        <v>1.9279783946854825</v>
      </c>
      <c r="L153" s="157">
        <f t="shared" si="67"/>
        <v>1.8813647367419324</v>
      </c>
      <c r="M153" s="157">
        <f t="shared" si="67"/>
        <v>1.8305063847469043</v>
      </c>
      <c r="N153" s="157">
        <f t="shared" si="67"/>
        <v>1.7774293605020526</v>
      </c>
      <c r="O153" s="157">
        <f t="shared" si="67"/>
        <v>1.7159413539708159</v>
      </c>
      <c r="P153" s="157">
        <f t="shared" si="67"/>
        <v>1.7270033329572956</v>
      </c>
      <c r="Q153" s="157">
        <f t="shared" si="67"/>
        <v>1.7399838271200814</v>
      </c>
      <c r="R153" s="157">
        <f t="shared" si="67"/>
        <v>1.7399838271200814</v>
      </c>
      <c r="S153" s="157">
        <f t="shared" si="67"/>
        <v>1.7579336146516809</v>
      </c>
      <c r="T153" s="157">
        <f t="shared" si="67"/>
        <v>1.775437443911372</v>
      </c>
      <c r="U153" s="157">
        <f t="shared" si="67"/>
        <v>1.7926642946967708</v>
      </c>
      <c r="V153" s="157">
        <f t="shared" si="67"/>
        <v>1.8093636729909153</v>
      </c>
      <c r="W153" s="157">
        <f t="shared" si="67"/>
        <v>1.8265235076880315</v>
      </c>
      <c r="X153" s="157">
        <f t="shared" si="67"/>
        <v>1.8464468295337393</v>
      </c>
      <c r="Y153" s="157">
        <f t="shared" si="67"/>
        <v>1.8659279263246511</v>
      </c>
      <c r="Z153" s="157">
        <f t="shared" si="67"/>
        <v>1.8860684064796465</v>
      </c>
      <c r="AA153" s="157">
        <f t="shared" si="67"/>
        <v>1.906623280901502</v>
      </c>
      <c r="AB153" s="157">
        <f t="shared" si="67"/>
        <v>1.9275358663420163</v>
      </c>
      <c r="AC153" s="157">
        <f t="shared" si="67"/>
        <v>1.9515596944816545</v>
      </c>
      <c r="AD153" s="157">
        <f t="shared" si="67"/>
        <v>1.9748615436108832</v>
      </c>
      <c r="AE153" s="157">
        <f t="shared" si="67"/>
        <v>1.9999832644559805</v>
      </c>
      <c r="AF153" s="157">
        <f t="shared" si="67"/>
        <v>2.0265128975110298</v>
      </c>
      <c r="AG153" s="157">
        <f t="shared" si="67"/>
        <v>2.054299058200554</v>
      </c>
      <c r="AH153" s="157">
        <f t="shared" si="67"/>
        <v>2.0829116541833335</v>
      </c>
      <c r="AI153" s="157">
        <f t="shared" si="67"/>
        <v>2.1122045922182391</v>
      </c>
      <c r="AJ153" s="157">
        <f t="shared" si="67"/>
        <v>2.1415244575835897</v>
      </c>
      <c r="AK153" s="157">
        <f t="shared" si="67"/>
        <v>2.1715589671923103</v>
      </c>
      <c r="AL153" s="157">
        <f t="shared" si="67"/>
        <v>2.2029125691272031</v>
      </c>
      <c r="AM153" s="157">
        <f t="shared" si="67"/>
        <v>2.2379119294755281</v>
      </c>
      <c r="AN153" s="157">
        <f t="shared" si="67"/>
        <v>2.2722368259636037</v>
      </c>
      <c r="AO153" s="157">
        <f t="shared" si="67"/>
        <v>2.3059223827067017</v>
      </c>
      <c r="AP153" s="157">
        <f t="shared" si="67"/>
        <v>2.3390008169600294</v>
      </c>
      <c r="AQ153" s="157">
        <f t="shared" si="67"/>
        <v>2.371501763286644</v>
      </c>
      <c r="AR153" s="157">
        <f t="shared" si="67"/>
        <v>2.4114756364777326</v>
      </c>
      <c r="AS153" s="157">
        <f t="shared" si="67"/>
        <v>2.4506339611807713</v>
      </c>
      <c r="AT153" s="157">
        <f t="shared" si="67"/>
        <v>2.4890216139467256</v>
      </c>
      <c r="AU153" s="157">
        <f t="shared" si="67"/>
        <v>2.5266795542159293</v>
      </c>
      <c r="AV153" s="157">
        <f t="shared" si="67"/>
        <v>2.5662584137741091</v>
      </c>
    </row>
    <row r="154" spans="1:48">
      <c r="A154" s="185" t="s">
        <v>16</v>
      </c>
      <c r="B154" s="87" t="str">
        <f t="shared" si="68"/>
        <v>CEL</v>
      </c>
      <c r="C154" s="87" t="str">
        <f t="shared" si="68"/>
        <v>Commercial - Lighting</v>
      </c>
      <c r="D154" s="159"/>
      <c r="E154" s="159"/>
      <c r="F154" s="159"/>
      <c r="G154" s="159"/>
      <c r="H154" s="159"/>
      <c r="I154" s="158"/>
      <c r="J154" s="157">
        <f t="shared" si="67"/>
        <v>24.308054381137783</v>
      </c>
      <c r="K154" s="157">
        <f t="shared" si="67"/>
        <v>23.654976442577553</v>
      </c>
      <c r="L154" s="157">
        <f t="shared" si="67"/>
        <v>23.054160292769623</v>
      </c>
      <c r="M154" s="157">
        <f t="shared" si="67"/>
        <v>22.400669897220691</v>
      </c>
      <c r="N154" s="157">
        <f t="shared" si="67"/>
        <v>21.71940237894831</v>
      </c>
      <c r="O154" s="157">
        <f t="shared" si="67"/>
        <v>20.934855954282256</v>
      </c>
      <c r="P154" s="157">
        <f t="shared" si="67"/>
        <v>21.06981449241373</v>
      </c>
      <c r="Q154" s="157">
        <f t="shared" si="67"/>
        <v>21.228179330981487</v>
      </c>
      <c r="R154" s="157">
        <f t="shared" si="67"/>
        <v>21.228179330981487</v>
      </c>
      <c r="S154" s="157">
        <f t="shared" si="67"/>
        <v>21.447170624311198</v>
      </c>
      <c r="T154" s="157">
        <f t="shared" si="67"/>
        <v>21.660721130190677</v>
      </c>
      <c r="U154" s="157">
        <f t="shared" si="67"/>
        <v>21.870892438728518</v>
      </c>
      <c r="V154" s="157">
        <f t="shared" si="67"/>
        <v>22.074628468695384</v>
      </c>
      <c r="W154" s="157">
        <f t="shared" si="67"/>
        <v>22.283982166449746</v>
      </c>
      <c r="X154" s="157">
        <f t="shared" si="67"/>
        <v>22.527051005606467</v>
      </c>
      <c r="Y154" s="157">
        <f t="shared" si="67"/>
        <v>22.764724603369825</v>
      </c>
      <c r="Z154" s="157">
        <f t="shared" si="67"/>
        <v>23.010442820906345</v>
      </c>
      <c r="AA154" s="157">
        <f t="shared" si="67"/>
        <v>23.261216738199106</v>
      </c>
      <c r="AB154" s="157">
        <f t="shared" si="67"/>
        <v>23.516354807350293</v>
      </c>
      <c r="AC154" s="157">
        <f t="shared" si="67"/>
        <v>23.809450710896137</v>
      </c>
      <c r="AD154" s="157">
        <f t="shared" si="67"/>
        <v>24.093738314234077</v>
      </c>
      <c r="AE154" s="157">
        <f t="shared" si="67"/>
        <v>24.400228746438405</v>
      </c>
      <c r="AF154" s="157">
        <f t="shared" si="67"/>
        <v>24.723896012363433</v>
      </c>
      <c r="AG154" s="157">
        <f t="shared" si="67"/>
        <v>25.062893187419352</v>
      </c>
      <c r="AH154" s="157">
        <f t="shared" si="67"/>
        <v>25.411973051944692</v>
      </c>
      <c r="AI154" s="157">
        <f t="shared" si="67"/>
        <v>25.769353236774073</v>
      </c>
      <c r="AJ154" s="157">
        <f t="shared" si="67"/>
        <v>26.127061940863619</v>
      </c>
      <c r="AK154" s="157">
        <f t="shared" si="67"/>
        <v>26.493489459415493</v>
      </c>
      <c r="AL154" s="157">
        <f t="shared" si="67"/>
        <v>26.876010189879832</v>
      </c>
      <c r="AM154" s="157">
        <f t="shared" si="67"/>
        <v>27.303009962155659</v>
      </c>
      <c r="AN154" s="157">
        <f t="shared" si="67"/>
        <v>27.721781129340737</v>
      </c>
      <c r="AO154" s="157">
        <f t="shared" si="67"/>
        <v>28.132752213244437</v>
      </c>
      <c r="AP154" s="157">
        <f t="shared" si="67"/>
        <v>28.536316271354067</v>
      </c>
      <c r="AQ154" s="157">
        <f t="shared" si="67"/>
        <v>28.932834851753704</v>
      </c>
      <c r="AR154" s="157">
        <f t="shared" si="67"/>
        <v>29.420524757503493</v>
      </c>
      <c r="AS154" s="157">
        <f t="shared" si="67"/>
        <v>29.898264795163929</v>
      </c>
      <c r="AT154" s="157">
        <f t="shared" si="67"/>
        <v>30.366602468370875</v>
      </c>
      <c r="AU154" s="157">
        <f t="shared" si="67"/>
        <v>30.826037491162541</v>
      </c>
      <c r="AV154" s="157">
        <f t="shared" si="67"/>
        <v>31.308908145085454</v>
      </c>
    </row>
    <row r="155" spans="1:48">
      <c r="A155" s="185" t="s">
        <v>16</v>
      </c>
      <c r="B155" s="87" t="str">
        <f t="shared" si="68"/>
        <v>CER</v>
      </c>
      <c r="C155" s="87" t="str">
        <f t="shared" si="68"/>
        <v>Commercial - Refrigeration</v>
      </c>
      <c r="D155" s="159"/>
      <c r="E155" s="159"/>
      <c r="F155" s="159"/>
      <c r="G155" s="159"/>
      <c r="H155" s="159"/>
      <c r="I155" s="158"/>
      <c r="J155" s="157">
        <f t="shared" si="67"/>
        <v>5.9132780747494111</v>
      </c>
      <c r="K155" s="157">
        <f t="shared" si="67"/>
        <v>5.7544076281624807</v>
      </c>
      <c r="L155" s="157">
        <f t="shared" si="67"/>
        <v>5.6082506009521316</v>
      </c>
      <c r="M155" s="157">
        <f t="shared" si="67"/>
        <v>5.4492798183683409</v>
      </c>
      <c r="N155" s="157">
        <f t="shared" si="67"/>
        <v>5.2835518577642615</v>
      </c>
      <c r="O155" s="157">
        <f t="shared" si="67"/>
        <v>5.0926998422610916</v>
      </c>
      <c r="P155" s="157">
        <f t="shared" si="67"/>
        <v>5.1255304157006645</v>
      </c>
      <c r="Q155" s="157">
        <f t="shared" si="67"/>
        <v>5.1640549028122535</v>
      </c>
      <c r="R155" s="157">
        <f t="shared" si="67"/>
        <v>5.1640549028122535</v>
      </c>
      <c r="S155" s="157">
        <f t="shared" si="67"/>
        <v>5.2173276326286073</v>
      </c>
      <c r="T155" s="157">
        <f t="shared" si="67"/>
        <v>5.2692768139357149</v>
      </c>
      <c r="U155" s="157">
        <f t="shared" si="67"/>
        <v>5.3204039576894573</v>
      </c>
      <c r="V155" s="157">
        <f t="shared" si="67"/>
        <v>5.3699656289013831</v>
      </c>
      <c r="W155" s="157">
        <f t="shared" si="67"/>
        <v>5.4208938772666331</v>
      </c>
      <c r="X155" s="157">
        <f t="shared" si="67"/>
        <v>5.4800238106913151</v>
      </c>
      <c r="Y155" s="157">
        <f t="shared" si="67"/>
        <v>5.5378412753293507</v>
      </c>
      <c r="Z155" s="157">
        <f t="shared" si="67"/>
        <v>5.5976157075213688</v>
      </c>
      <c r="AA155" s="157">
        <f t="shared" si="67"/>
        <v>5.65862001019386</v>
      </c>
      <c r="AB155" s="157">
        <f t="shared" si="67"/>
        <v>5.7206859545384763</v>
      </c>
      <c r="AC155" s="157">
        <f t="shared" si="67"/>
        <v>5.791985679027384</v>
      </c>
      <c r="AD155" s="157">
        <f t="shared" si="67"/>
        <v>5.8611426598940115</v>
      </c>
      <c r="AE155" s="157">
        <f t="shared" si="67"/>
        <v>5.9357007929497243</v>
      </c>
      <c r="AF155" s="157">
        <f t="shared" si="67"/>
        <v>6.0144374337807429</v>
      </c>
      <c r="AG155" s="157">
        <f t="shared" si="67"/>
        <v>6.0969032918551616</v>
      </c>
      <c r="AH155" s="157">
        <f t="shared" si="67"/>
        <v>6.1818219067664373</v>
      </c>
      <c r="AI155" s="157">
        <f t="shared" si="67"/>
        <v>6.2687596920028117</v>
      </c>
      <c r="AJ155" s="157">
        <f t="shared" si="67"/>
        <v>6.3557773941962497</v>
      </c>
      <c r="AK155" s="157">
        <f t="shared" si="67"/>
        <v>6.4449160713385467</v>
      </c>
      <c r="AL155" s="157">
        <f t="shared" si="67"/>
        <v>6.5379696499230633</v>
      </c>
      <c r="AM155" s="157">
        <f t="shared" si="67"/>
        <v>6.6418433846009366</v>
      </c>
      <c r="AN155" s="157">
        <f t="shared" si="67"/>
        <v>6.7437153946937842</v>
      </c>
      <c r="AO155" s="157">
        <f t="shared" si="67"/>
        <v>6.8436899241933347</v>
      </c>
      <c r="AP155" s="157">
        <f t="shared" si="67"/>
        <v>6.9418625898933231</v>
      </c>
      <c r="AQ155" s="157">
        <f t="shared" si="67"/>
        <v>7.0383213434794332</v>
      </c>
      <c r="AR155" s="157">
        <f t="shared" si="67"/>
        <v>7.1569588116095275</v>
      </c>
      <c r="AS155" s="157">
        <f t="shared" si="67"/>
        <v>7.2731758335822745</v>
      </c>
      <c r="AT155" s="157">
        <f t="shared" si="67"/>
        <v>7.3871055974017414</v>
      </c>
      <c r="AU155" s="157">
        <f t="shared" si="67"/>
        <v>7.4988696655763656</v>
      </c>
      <c r="AV155" s="157">
        <f t="shared" si="67"/>
        <v>7.6163347825294485</v>
      </c>
    </row>
    <row r="156" spans="1:48">
      <c r="A156" s="185" t="s">
        <v>16</v>
      </c>
      <c r="B156" s="87" t="str">
        <f t="shared" si="68"/>
        <v>CEW</v>
      </c>
      <c r="C156" s="87" t="str">
        <f t="shared" si="68"/>
        <v>Commercial - Water Heating</v>
      </c>
      <c r="D156" s="159"/>
      <c r="E156" s="159"/>
      <c r="F156" s="159"/>
      <c r="G156" s="159"/>
      <c r="H156" s="159"/>
      <c r="I156" s="158"/>
      <c r="J156" s="157">
        <f t="shared" si="67"/>
        <v>1.9366218046150063</v>
      </c>
      <c r="K156" s="157">
        <f t="shared" si="67"/>
        <v>2.0747560247060011</v>
      </c>
      <c r="L156" s="157">
        <f t="shared" si="67"/>
        <v>2.2215693132915648</v>
      </c>
      <c r="M156" s="157">
        <f t="shared" si="67"/>
        <v>2.3678686704112906</v>
      </c>
      <c r="N156" s="157">
        <f t="shared" si="67"/>
        <v>2.5155670238606285</v>
      </c>
      <c r="O156" s="157">
        <f t="shared" si="67"/>
        <v>2.6547723439938684</v>
      </c>
      <c r="P156" s="157">
        <f t="shared" si="67"/>
        <v>2.6718865861649017</v>
      </c>
      <c r="Q156" s="157">
        <f t="shared" si="67"/>
        <v>2.691969007300679</v>
      </c>
      <c r="R156" s="157">
        <f t="shared" si="67"/>
        <v>2.691969007300679</v>
      </c>
      <c r="S156" s="157">
        <f t="shared" si="67"/>
        <v>2.7197395365260428</v>
      </c>
      <c r="T156" s="157">
        <f t="shared" si="67"/>
        <v>2.7468201134496573</v>
      </c>
      <c r="U156" s="157">
        <f t="shared" si="67"/>
        <v>2.7734721706037995</v>
      </c>
      <c r="V156" s="157">
        <f t="shared" si="67"/>
        <v>2.7993081629322063</v>
      </c>
      <c r="W156" s="157">
        <f t="shared" si="67"/>
        <v>2.8258565379544591</v>
      </c>
      <c r="X156" s="157">
        <f t="shared" si="67"/>
        <v>2.856680367518377</v>
      </c>
      <c r="Y156" s="157">
        <f t="shared" si="67"/>
        <v>2.8868200205266232</v>
      </c>
      <c r="Z156" s="157">
        <f t="shared" si="67"/>
        <v>2.9179798207065706</v>
      </c>
      <c r="AA156" s="157">
        <f t="shared" si="67"/>
        <v>2.9497807397899258</v>
      </c>
      <c r="AB156" s="157">
        <f t="shared" si="67"/>
        <v>2.9821350818193975</v>
      </c>
      <c r="AC156" s="157">
        <f t="shared" si="67"/>
        <v>3.0193028990028847</v>
      </c>
      <c r="AD156" s="157">
        <f t="shared" si="67"/>
        <v>3.0553537258502259</v>
      </c>
      <c r="AE156" s="157">
        <f t="shared" si="67"/>
        <v>3.094220118095373</v>
      </c>
      <c r="AF156" s="157">
        <f t="shared" si="67"/>
        <v>3.1352647237095854</v>
      </c>
      <c r="AG156" s="157">
        <f t="shared" si="67"/>
        <v>3.1782533321335387</v>
      </c>
      <c r="AH156" s="157">
        <f t="shared" si="67"/>
        <v>3.2225205376118469</v>
      </c>
      <c r="AI156" s="157">
        <f t="shared" si="67"/>
        <v>3.2678403159302829</v>
      </c>
      <c r="AJ156" s="157">
        <f t="shared" si="67"/>
        <v>3.3132017541411134</v>
      </c>
      <c r="AK156" s="157">
        <f t="shared" si="67"/>
        <v>3.3596688349012669</v>
      </c>
      <c r="AL156" s="157">
        <f t="shared" si="67"/>
        <v>3.4081767137449872</v>
      </c>
      <c r="AM156" s="157">
        <f t="shared" si="67"/>
        <v>3.4623250293008754</v>
      </c>
      <c r="AN156" s="157">
        <f t="shared" si="67"/>
        <v>3.5154298663025161</v>
      </c>
      <c r="AO156" s="157">
        <f t="shared" si="67"/>
        <v>3.5675455660766788</v>
      </c>
      <c r="AP156" s="157">
        <f t="shared" si="67"/>
        <v>3.6187219726800519</v>
      </c>
      <c r="AQ156" s="157">
        <f t="shared" si="67"/>
        <v>3.6690049344268862</v>
      </c>
      <c r="AR156" s="157">
        <f t="shared" si="67"/>
        <v>3.7308494332405822</v>
      </c>
      <c r="AS156" s="157">
        <f t="shared" si="67"/>
        <v>3.7914321782267066</v>
      </c>
      <c r="AT156" s="157">
        <f t="shared" si="67"/>
        <v>3.850822598929645</v>
      </c>
      <c r="AU156" s="157">
        <f t="shared" si="67"/>
        <v>3.9090840646418088</v>
      </c>
      <c r="AV156" s="157">
        <f t="shared" si="67"/>
        <v>3.9703174287767342</v>
      </c>
    </row>
    <row r="157" spans="1:48">
      <c r="A157" s="185" t="s">
        <v>16</v>
      </c>
      <c r="B157" s="87" t="str">
        <f t="shared" si="68"/>
        <v>CEG</v>
      </c>
      <c r="C157" s="87" t="str">
        <f t="shared" si="68"/>
        <v>Commercial - Public lights</v>
      </c>
      <c r="D157" s="159"/>
      <c r="E157" s="159"/>
      <c r="F157" s="159"/>
      <c r="G157" s="159"/>
      <c r="H157" s="159"/>
      <c r="I157" s="158"/>
      <c r="J157" s="157">
        <f t="shared" si="67"/>
        <v>10.30055287377321</v>
      </c>
      <c r="K157" s="157">
        <f t="shared" si="67"/>
        <v>10.023810698880988</v>
      </c>
      <c r="L157" s="157">
        <f t="shared" si="67"/>
        <v>9.7692144888562282</v>
      </c>
      <c r="M157" s="157">
        <f t="shared" si="67"/>
        <v>9.4922975350634147</v>
      </c>
      <c r="N157" s="157">
        <f t="shared" si="67"/>
        <v>9.2036100085703758</v>
      </c>
      <c r="O157" s="157">
        <f t="shared" si="67"/>
        <v>8.8711579824850144</v>
      </c>
      <c r="P157" s="157">
        <f t="shared" si="67"/>
        <v>8.9283467453532221</v>
      </c>
      <c r="Q157" s="157">
        <f t="shared" si="67"/>
        <v>8.995453942310931</v>
      </c>
      <c r="R157" s="157">
        <f t="shared" si="67"/>
        <v>8.995453942310931</v>
      </c>
      <c r="S157" s="157">
        <f t="shared" si="67"/>
        <v>9.0882516364607788</v>
      </c>
      <c r="T157" s="157">
        <f t="shared" si="67"/>
        <v>9.1787437936092946</v>
      </c>
      <c r="U157" s="157">
        <f t="shared" si="67"/>
        <v>9.2678040138227225</v>
      </c>
      <c r="V157" s="157">
        <f t="shared" si="67"/>
        <v>9.3541372808156904</v>
      </c>
      <c r="W157" s="157">
        <f t="shared" si="67"/>
        <v>9.4428510379608159</v>
      </c>
      <c r="X157" s="157">
        <f t="shared" si="67"/>
        <v>9.5458516068439963</v>
      </c>
      <c r="Y157" s="157">
        <f t="shared" si="67"/>
        <v>9.6465659388952307</v>
      </c>
      <c r="Z157" s="157">
        <f t="shared" si="67"/>
        <v>9.750689183483173</v>
      </c>
      <c r="AA157" s="157">
        <f t="shared" si="67"/>
        <v>9.8569547839271863</v>
      </c>
      <c r="AB157" s="157">
        <f t="shared" si="67"/>
        <v>9.9650696963836705</v>
      </c>
      <c r="AC157" s="157">
        <f t="shared" si="67"/>
        <v>10.089269264322065</v>
      </c>
      <c r="AD157" s="157">
        <f t="shared" si="67"/>
        <v>10.209736309673625</v>
      </c>
      <c r="AE157" s="157">
        <f t="shared" si="67"/>
        <v>10.339611817302737</v>
      </c>
      <c r="AF157" s="157">
        <f t="shared" si="67"/>
        <v>10.47676601870017</v>
      </c>
      <c r="AG157" s="157">
        <f t="shared" ref="K157:AV159" si="69">AG98*AG$34/1000</f>
        <v>10.620416278444232</v>
      </c>
      <c r="AH157" s="157">
        <f t="shared" si="69"/>
        <v>10.768339084002173</v>
      </c>
      <c r="AI157" s="157">
        <f t="shared" si="69"/>
        <v>10.919779155352776</v>
      </c>
      <c r="AJ157" s="157">
        <f t="shared" si="69"/>
        <v>11.071358436940297</v>
      </c>
      <c r="AK157" s="157">
        <f t="shared" si="69"/>
        <v>11.226632321475375</v>
      </c>
      <c r="AL157" s="157">
        <f t="shared" si="69"/>
        <v>11.38872571437644</v>
      </c>
      <c r="AM157" s="157">
        <f t="shared" si="69"/>
        <v>11.569667128380731</v>
      </c>
      <c r="AN157" s="157">
        <f t="shared" si="69"/>
        <v>11.74712166595774</v>
      </c>
      <c r="AO157" s="157">
        <f t="shared" si="69"/>
        <v>11.921270913485619</v>
      </c>
      <c r="AP157" s="157">
        <f t="shared" si="69"/>
        <v>12.092281429314415</v>
      </c>
      <c r="AQ157" s="157">
        <f t="shared" si="69"/>
        <v>12.260306419665319</v>
      </c>
      <c r="AR157" s="157">
        <f t="shared" si="69"/>
        <v>12.466965314754809</v>
      </c>
      <c r="AS157" s="157">
        <f t="shared" si="69"/>
        <v>12.66940794717126</v>
      </c>
      <c r="AT157" s="157">
        <f t="shared" si="69"/>
        <v>12.867866321914383</v>
      </c>
      <c r="AU157" s="157">
        <f t="shared" si="69"/>
        <v>13.062552193112735</v>
      </c>
      <c r="AV157" s="157">
        <f t="shared" si="69"/>
        <v>13.267168927300476</v>
      </c>
    </row>
    <row r="158" spans="1:48">
      <c r="A158" s="185" t="s">
        <v>16</v>
      </c>
      <c r="B158" s="87" t="str">
        <f t="shared" si="68"/>
        <v>CET</v>
      </c>
      <c r="C158" s="87" t="str">
        <f t="shared" si="68"/>
        <v>Commercial - Public Water</v>
      </c>
      <c r="D158" s="159"/>
      <c r="E158" s="159"/>
      <c r="F158" s="159"/>
      <c r="G158" s="159"/>
      <c r="H158" s="159"/>
      <c r="I158" s="158"/>
      <c r="J158" s="157">
        <f t="shared" ref="J158:J159" si="70">J99*J$34/1000</f>
        <v>3.5593512487513528</v>
      </c>
      <c r="K158" s="157">
        <f t="shared" si="69"/>
        <v>3.4637231190911666</v>
      </c>
      <c r="L158" s="157">
        <f t="shared" si="69"/>
        <v>3.3757475172779561</v>
      </c>
      <c r="M158" s="157">
        <f t="shared" si="69"/>
        <v>3.2800589928500612</v>
      </c>
      <c r="N158" s="157">
        <f t="shared" si="69"/>
        <v>3.1803031525069465</v>
      </c>
      <c r="O158" s="157">
        <f t="shared" si="69"/>
        <v>3.0654245097100388</v>
      </c>
      <c r="P158" s="157">
        <f t="shared" si="69"/>
        <v>3.0851860600873766</v>
      </c>
      <c r="Q158" s="157">
        <f t="shared" si="69"/>
        <v>3.1083749207455065</v>
      </c>
      <c r="R158" s="157">
        <f t="shared" si="69"/>
        <v>3.1083749207455065</v>
      </c>
      <c r="S158" s="157">
        <f t="shared" si="69"/>
        <v>3.14044112074478</v>
      </c>
      <c r="T158" s="157">
        <f t="shared" si="69"/>
        <v>3.1717106435068905</v>
      </c>
      <c r="U158" s="157">
        <f t="shared" si="69"/>
        <v>3.2024853611279087</v>
      </c>
      <c r="V158" s="157">
        <f t="shared" si="69"/>
        <v>3.2323177813334891</v>
      </c>
      <c r="W158" s="157">
        <f t="shared" si="69"/>
        <v>3.2629727788025966</v>
      </c>
      <c r="X158" s="157">
        <f t="shared" si="69"/>
        <v>3.2985645774146795</v>
      </c>
      <c r="Y158" s="157">
        <f t="shared" si="69"/>
        <v>3.3333663679541425</v>
      </c>
      <c r="Z158" s="157">
        <f t="shared" si="69"/>
        <v>3.3693461066331967</v>
      </c>
      <c r="AA158" s="157">
        <f t="shared" si="69"/>
        <v>3.4060661353806592</v>
      </c>
      <c r="AB158" s="157">
        <f t="shared" si="69"/>
        <v>3.4434251930328399</v>
      </c>
      <c r="AC158" s="157">
        <f t="shared" si="69"/>
        <v>3.4863422958964625</v>
      </c>
      <c r="AD158" s="157">
        <f t="shared" si="69"/>
        <v>3.5279696273183716</v>
      </c>
      <c r="AE158" s="157">
        <f t="shared" si="69"/>
        <v>3.5728480484989391</v>
      </c>
      <c r="AF158" s="157">
        <f t="shared" si="69"/>
        <v>3.6202416189215931</v>
      </c>
      <c r="AG158" s="157">
        <f t="shared" si="69"/>
        <v>3.6698798992808292</v>
      </c>
      <c r="AH158" s="157">
        <f t="shared" si="69"/>
        <v>3.7209945558564028</v>
      </c>
      <c r="AI158" s="157">
        <f t="shared" si="69"/>
        <v>3.7733246019887052</v>
      </c>
      <c r="AJ158" s="157">
        <f t="shared" si="69"/>
        <v>3.8257027521535454</v>
      </c>
      <c r="AK158" s="157">
        <f t="shared" si="69"/>
        <v>3.8793575706464041</v>
      </c>
      <c r="AL158" s="157">
        <f t="shared" si="69"/>
        <v>3.9353688670794096</v>
      </c>
      <c r="AM158" s="157">
        <f t="shared" si="69"/>
        <v>3.9978930884274515</v>
      </c>
      <c r="AN158" s="157">
        <f t="shared" si="69"/>
        <v>4.0592124212498222</v>
      </c>
      <c r="AO158" s="157">
        <f t="shared" si="69"/>
        <v>4.1193896126349294</v>
      </c>
      <c r="AP158" s="157">
        <f t="shared" si="69"/>
        <v>4.1784822167430686</v>
      </c>
      <c r="AQ158" s="157">
        <f t="shared" si="69"/>
        <v>4.2365431739126276</v>
      </c>
      <c r="AR158" s="157">
        <f t="shared" si="69"/>
        <v>4.3079540588734941</v>
      </c>
      <c r="AS158" s="157">
        <f t="shared" si="69"/>
        <v>4.3779080162311299</v>
      </c>
      <c r="AT158" s="157">
        <f t="shared" si="69"/>
        <v>4.4464852152051444</v>
      </c>
      <c r="AU158" s="157">
        <f t="shared" si="69"/>
        <v>4.5137588273360496</v>
      </c>
      <c r="AV158" s="157">
        <f t="shared" si="69"/>
        <v>4.5844640445483158</v>
      </c>
    </row>
    <row r="159" spans="1:48">
      <c r="A159" s="185" t="s">
        <v>16</v>
      </c>
      <c r="B159" s="87" t="str">
        <f t="shared" si="68"/>
        <v>CEO</v>
      </c>
      <c r="C159" s="87" t="str">
        <f t="shared" si="68"/>
        <v>Commercial - Other</v>
      </c>
      <c r="D159" s="159"/>
      <c r="E159" s="159"/>
      <c r="F159" s="159"/>
      <c r="G159" s="159"/>
      <c r="H159" s="159"/>
      <c r="I159" s="158"/>
      <c r="J159" s="157">
        <f t="shared" si="70"/>
        <v>3.7520368714157861</v>
      </c>
      <c r="K159" s="157">
        <f t="shared" si="69"/>
        <v>3.6836958161690943</v>
      </c>
      <c r="L159" s="157">
        <f t="shared" si="69"/>
        <v>3.6241923983997872</v>
      </c>
      <c r="M159" s="157">
        <f t="shared" si="69"/>
        <v>3.5571871958880834</v>
      </c>
      <c r="N159" s="157">
        <f t="shared" si="69"/>
        <v>3.4865111136726998</v>
      </c>
      <c r="O159" s="157">
        <f t="shared" si="69"/>
        <v>3.3998483491588085</v>
      </c>
      <c r="P159" s="157">
        <f t="shared" si="69"/>
        <v>3.4217657945939819</v>
      </c>
      <c r="Q159" s="157">
        <f t="shared" si="69"/>
        <v>3.4474844542372667</v>
      </c>
      <c r="R159" s="157">
        <f t="shared" si="69"/>
        <v>3.4474844542372667</v>
      </c>
      <c r="S159" s="157">
        <f t="shared" si="69"/>
        <v>3.4830489304740797</v>
      </c>
      <c r="T159" s="157">
        <f t="shared" si="69"/>
        <v>3.5177298156190213</v>
      </c>
      <c r="U159" s="157">
        <f t="shared" si="69"/>
        <v>3.5518619146376809</v>
      </c>
      <c r="V159" s="157">
        <f t="shared" si="69"/>
        <v>3.5849489158885937</v>
      </c>
      <c r="W159" s="157">
        <f t="shared" si="69"/>
        <v>3.6189482338325445</v>
      </c>
      <c r="X159" s="157">
        <f t="shared" si="69"/>
        <v>3.6584229354184368</v>
      </c>
      <c r="Y159" s="157">
        <f t="shared" si="69"/>
        <v>3.6970214426524497</v>
      </c>
      <c r="Z159" s="157">
        <f t="shared" si="69"/>
        <v>3.7369264067980903</v>
      </c>
      <c r="AA159" s="157">
        <f t="shared" si="69"/>
        <v>3.7776524232837918</v>
      </c>
      <c r="AB159" s="157">
        <f t="shared" si="69"/>
        <v>3.8190871838145317</v>
      </c>
      <c r="AC159" s="157">
        <f t="shared" si="69"/>
        <v>3.8666863469514401</v>
      </c>
      <c r="AD159" s="157">
        <f t="shared" si="69"/>
        <v>3.9128550304621141</v>
      </c>
      <c r="AE159" s="157">
        <f t="shared" si="69"/>
        <v>3.9626294828031496</v>
      </c>
      <c r="AF159" s="157">
        <f t="shared" si="69"/>
        <v>4.0151934757026009</v>
      </c>
      <c r="AG159" s="157">
        <f t="shared" si="69"/>
        <v>4.0702470661596024</v>
      </c>
      <c r="AH159" s="157">
        <f t="shared" si="69"/>
        <v>4.1269380987476865</v>
      </c>
      <c r="AI159" s="157">
        <f t="shared" si="69"/>
        <v>4.1849771143524581</v>
      </c>
      <c r="AJ159" s="157">
        <f t="shared" si="69"/>
        <v>4.2430694819204238</v>
      </c>
      <c r="AK159" s="157">
        <f t="shared" si="69"/>
        <v>4.302577796510958</v>
      </c>
      <c r="AL159" s="157">
        <f t="shared" si="69"/>
        <v>4.3646996700422722</v>
      </c>
      <c r="AM159" s="157">
        <f t="shared" si="69"/>
        <v>4.4340449989059367</v>
      </c>
      <c r="AN159" s="157">
        <f t="shared" si="69"/>
        <v>4.5020539913985873</v>
      </c>
      <c r="AO159" s="157">
        <f t="shared" si="69"/>
        <v>4.5687962400299273</v>
      </c>
      <c r="AP159" s="157">
        <f t="shared" si="69"/>
        <v>4.6343355778567634</v>
      </c>
      <c r="AQ159" s="157">
        <f t="shared" si="69"/>
        <v>4.6987307207670623</v>
      </c>
      <c r="AR159" s="157">
        <f t="shared" si="69"/>
        <v>4.7779322077314692</v>
      </c>
      <c r="AS159" s="157">
        <f t="shared" si="69"/>
        <v>4.8555178229329279</v>
      </c>
      <c r="AT159" s="157">
        <f t="shared" si="69"/>
        <v>4.9315764816874346</v>
      </c>
      <c r="AU159" s="157">
        <f t="shared" si="69"/>
        <v>5.0061893382170002</v>
      </c>
      <c r="AV159" s="157">
        <f t="shared" si="69"/>
        <v>5.0846081722984087</v>
      </c>
    </row>
    <row r="160" spans="1:48">
      <c r="A160" s="185" t="s">
        <v>16</v>
      </c>
      <c r="B160" s="159"/>
      <c r="C160" s="159"/>
      <c r="D160" s="159"/>
      <c r="E160" s="159"/>
      <c r="F160" s="159"/>
      <c r="G160" s="159"/>
      <c r="H160" s="159"/>
      <c r="I160" s="158"/>
      <c r="K160" s="87"/>
    </row>
    <row r="161" spans="1:48" ht="15.75" thickBot="1">
      <c r="A161" s="185" t="s">
        <v>16</v>
      </c>
      <c r="B161" s="85" t="s">
        <v>479</v>
      </c>
      <c r="C161" s="85"/>
      <c r="D161" s="85"/>
      <c r="E161" s="85"/>
      <c r="F161" s="85"/>
      <c r="G161" s="85"/>
      <c r="H161" s="85"/>
      <c r="I161" s="151"/>
      <c r="K161" s="87"/>
    </row>
    <row r="162" spans="1:48">
      <c r="A162" s="185" t="s">
        <v>16</v>
      </c>
      <c r="B162" s="87" t="str">
        <f t="shared" ref="B162:B170" si="71">B70</f>
        <v>CEC</v>
      </c>
      <c r="C162" s="87" t="str">
        <f t="shared" ref="C162:C170" si="72">C138</f>
        <v>Commercial - Cooling</v>
      </c>
      <c r="E162" s="106"/>
      <c r="F162" s="106"/>
      <c r="I162" s="151"/>
      <c r="J162" s="157">
        <f t="shared" ref="J162:AV168" si="73">J$35*J70/1000</f>
        <v>111.73151548310749</v>
      </c>
      <c r="K162" s="157">
        <f t="shared" si="73"/>
        <v>108.72965500263481</v>
      </c>
      <c r="L162" s="157">
        <f t="shared" si="73"/>
        <v>105.96801485274044</v>
      </c>
      <c r="M162" s="157">
        <f t="shared" si="73"/>
        <v>102.9642585214647</v>
      </c>
      <c r="N162" s="157">
        <f t="shared" si="73"/>
        <v>99.832825167215901</v>
      </c>
      <c r="O162" s="157">
        <f t="shared" si="73"/>
        <v>96.226672259198224</v>
      </c>
      <c r="P162" s="157">
        <f t="shared" si="73"/>
        <v>95.264405536606233</v>
      </c>
      <c r="Q162" s="157">
        <f>Q$35*Q70/1000</f>
        <v>94.302138814014256</v>
      </c>
      <c r="R162" s="157">
        <f t="shared" si="73"/>
        <v>93.339872091422265</v>
      </c>
      <c r="S162" s="157">
        <f t="shared" si="73"/>
        <v>92.377605368830288</v>
      </c>
      <c r="T162" s="157">
        <f t="shared" si="73"/>
        <v>91.415338646238311</v>
      </c>
      <c r="U162" s="157">
        <f t="shared" si="73"/>
        <v>90.45307192364632</v>
      </c>
      <c r="V162" s="157">
        <f t="shared" si="73"/>
        <v>89.490805201054329</v>
      </c>
      <c r="W162" s="157">
        <f t="shared" si="73"/>
        <v>88.528538478462352</v>
      </c>
      <c r="X162" s="157">
        <f t="shared" si="73"/>
        <v>87.566271755870375</v>
      </c>
      <c r="Y162" s="157">
        <f t="shared" si="73"/>
        <v>86.604005033278398</v>
      </c>
      <c r="Z162" s="157">
        <f t="shared" si="73"/>
        <v>85.641738310686407</v>
      </c>
      <c r="AA162" s="157">
        <f t="shared" si="73"/>
        <v>84.67947158809443</v>
      </c>
      <c r="AB162" s="157">
        <f t="shared" si="73"/>
        <v>83.717204865502438</v>
      </c>
      <c r="AC162" s="157">
        <f t="shared" si="73"/>
        <v>82.754938142910476</v>
      </c>
      <c r="AD162" s="157">
        <f t="shared" si="73"/>
        <v>81.792671420318484</v>
      </c>
      <c r="AE162" s="157">
        <f t="shared" si="73"/>
        <v>80.830404697726493</v>
      </c>
      <c r="AF162" s="157">
        <f t="shared" si="73"/>
        <v>79.868137975134502</v>
      </c>
      <c r="AG162" s="157">
        <f t="shared" si="73"/>
        <v>78.905871252542525</v>
      </c>
      <c r="AH162" s="157">
        <f t="shared" si="73"/>
        <v>77.943604529950548</v>
      </c>
      <c r="AI162" s="157">
        <f t="shared" si="73"/>
        <v>76.981337807358557</v>
      </c>
      <c r="AJ162" s="157">
        <f t="shared" si="73"/>
        <v>76.01907108476658</v>
      </c>
      <c r="AK162" s="157">
        <f t="shared" si="73"/>
        <v>75.056804362174589</v>
      </c>
      <c r="AL162" s="157">
        <f t="shared" si="73"/>
        <v>74.094537639582597</v>
      </c>
      <c r="AM162" s="157">
        <f t="shared" si="73"/>
        <v>73.132270916990635</v>
      </c>
      <c r="AN162" s="157">
        <f t="shared" si="73"/>
        <v>72.170004194398643</v>
      </c>
      <c r="AO162" s="157">
        <f t="shared" si="73"/>
        <v>71.207737471806652</v>
      </c>
      <c r="AP162" s="157">
        <f t="shared" si="73"/>
        <v>70.245470749214675</v>
      </c>
      <c r="AQ162" s="157">
        <f t="shared" si="73"/>
        <v>69.283204026622684</v>
      </c>
      <c r="AR162" s="157">
        <f t="shared" si="73"/>
        <v>68.320937304030721</v>
      </c>
      <c r="AS162" s="157">
        <f t="shared" si="73"/>
        <v>67.35867058143873</v>
      </c>
      <c r="AT162" s="157">
        <f t="shared" si="73"/>
        <v>66.396403858846753</v>
      </c>
      <c r="AU162" s="157">
        <f t="shared" si="73"/>
        <v>65.434137136254762</v>
      </c>
      <c r="AV162" s="157">
        <f t="shared" si="73"/>
        <v>64.471870413662771</v>
      </c>
    </row>
    <row r="163" spans="1:48">
      <c r="A163" s="185" t="s">
        <v>16</v>
      </c>
      <c r="B163" s="87" t="str">
        <f t="shared" si="71"/>
        <v>CEH</v>
      </c>
      <c r="C163" s="87" t="str">
        <f t="shared" si="72"/>
        <v>Commercial - Space Heating</v>
      </c>
      <c r="E163" s="106"/>
      <c r="F163" s="106"/>
      <c r="I163" s="151"/>
      <c r="J163" s="157">
        <f t="shared" si="73"/>
        <v>6.2814039260015191</v>
      </c>
      <c r="K163" s="157">
        <f t="shared" si="73"/>
        <v>6.8385166802914092</v>
      </c>
      <c r="L163" s="157">
        <f t="shared" si="73"/>
        <v>7.4263698316800602</v>
      </c>
      <c r="M163" s="157">
        <f t="shared" si="73"/>
        <v>8.0146683659086371</v>
      </c>
      <c r="N163" s="157">
        <f t="shared" si="73"/>
        <v>8.609576325977141</v>
      </c>
      <c r="O163" s="157">
        <f t="shared" si="73"/>
        <v>9.1767853690947074</v>
      </c>
      <c r="P163" s="157">
        <f t="shared" si="73"/>
        <v>9.0850175154037593</v>
      </c>
      <c r="Q163" s="157">
        <f t="shared" si="73"/>
        <v>8.9932496617128113</v>
      </c>
      <c r="R163" s="157">
        <f t="shared" si="73"/>
        <v>8.9014818080218649</v>
      </c>
      <c r="S163" s="157">
        <f t="shared" si="73"/>
        <v>8.8097139543309169</v>
      </c>
      <c r="T163" s="157">
        <f t="shared" si="73"/>
        <v>8.7179461006399706</v>
      </c>
      <c r="U163" s="157">
        <f t="shared" si="73"/>
        <v>8.6261782469490225</v>
      </c>
      <c r="V163" s="157">
        <f t="shared" si="73"/>
        <v>8.5344103932580744</v>
      </c>
      <c r="W163" s="157">
        <f t="shared" si="73"/>
        <v>8.4426425395671281</v>
      </c>
      <c r="X163" s="157">
        <f t="shared" si="73"/>
        <v>8.35087468587618</v>
      </c>
      <c r="Y163" s="157">
        <f t="shared" si="73"/>
        <v>8.2591068321852337</v>
      </c>
      <c r="Z163" s="157">
        <f t="shared" si="73"/>
        <v>8.1673389784942874</v>
      </c>
      <c r="AA163" s="157">
        <f t="shared" si="73"/>
        <v>8.075571124803341</v>
      </c>
      <c r="AB163" s="157">
        <f t="shared" si="73"/>
        <v>7.983803271112393</v>
      </c>
      <c r="AC163" s="157">
        <f t="shared" si="73"/>
        <v>7.8920354174214467</v>
      </c>
      <c r="AD163" s="157">
        <f t="shared" si="73"/>
        <v>7.8002675637304995</v>
      </c>
      <c r="AE163" s="157">
        <f t="shared" si="73"/>
        <v>7.7084997100395514</v>
      </c>
      <c r="AF163" s="157">
        <f t="shared" si="73"/>
        <v>7.6167318563486042</v>
      </c>
      <c r="AG163" s="157">
        <f t="shared" si="73"/>
        <v>7.524964002657657</v>
      </c>
      <c r="AH163" s="157">
        <f t="shared" si="73"/>
        <v>7.4331961489667098</v>
      </c>
      <c r="AI163" s="157">
        <f t="shared" si="73"/>
        <v>7.3414282952757635</v>
      </c>
      <c r="AJ163" s="157">
        <f t="shared" si="73"/>
        <v>7.2496604415848154</v>
      </c>
      <c r="AK163" s="157">
        <f t="shared" si="73"/>
        <v>7.1578925878938682</v>
      </c>
      <c r="AL163" s="157">
        <f t="shared" si="73"/>
        <v>7.066124734202921</v>
      </c>
      <c r="AM163" s="157">
        <f t="shared" si="73"/>
        <v>6.9743568805119747</v>
      </c>
      <c r="AN163" s="157">
        <f t="shared" si="73"/>
        <v>6.8825890268210275</v>
      </c>
      <c r="AO163" s="157">
        <f t="shared" si="73"/>
        <v>6.7908211731300785</v>
      </c>
      <c r="AP163" s="157">
        <f t="shared" si="73"/>
        <v>6.6990533194391331</v>
      </c>
      <c r="AQ163" s="157">
        <f t="shared" si="73"/>
        <v>6.6072854657481859</v>
      </c>
      <c r="AR163" s="157">
        <f t="shared" si="73"/>
        <v>6.5155176120572396</v>
      </c>
      <c r="AS163" s="157">
        <f t="shared" si="73"/>
        <v>6.4237497583662915</v>
      </c>
      <c r="AT163" s="157">
        <f t="shared" si="73"/>
        <v>6.3319819046753443</v>
      </c>
      <c r="AU163" s="157">
        <f t="shared" si="73"/>
        <v>6.240214050984398</v>
      </c>
      <c r="AV163" s="157">
        <f t="shared" si="73"/>
        <v>6.1484461972934499</v>
      </c>
    </row>
    <row r="164" spans="1:48">
      <c r="A164" s="185" t="s">
        <v>16</v>
      </c>
      <c r="B164" s="87" t="str">
        <f t="shared" si="71"/>
        <v>CEK</v>
      </c>
      <c r="C164" s="87" t="str">
        <f t="shared" si="72"/>
        <v>Commercial - Cooking</v>
      </c>
      <c r="E164" s="106"/>
      <c r="F164" s="106"/>
      <c r="I164" s="151"/>
      <c r="J164" s="157">
        <f t="shared" si="73"/>
        <v>7.9155998052238097</v>
      </c>
      <c r="K164" s="157">
        <f t="shared" si="73"/>
        <v>7.7119135787419291</v>
      </c>
      <c r="L164" s="157">
        <f t="shared" si="73"/>
        <v>7.5254589469677287</v>
      </c>
      <c r="M164" s="157">
        <f t="shared" si="73"/>
        <v>7.3220255389876163</v>
      </c>
      <c r="N164" s="157">
        <f t="shared" si="73"/>
        <v>7.1097174420082103</v>
      </c>
      <c r="O164" s="157">
        <f t="shared" si="73"/>
        <v>6.8637654158832637</v>
      </c>
      <c r="P164" s="157">
        <f t="shared" si="73"/>
        <v>6.795127761724431</v>
      </c>
      <c r="Q164" s="157">
        <f t="shared" si="73"/>
        <v>6.7264901075655983</v>
      </c>
      <c r="R164" s="157">
        <f t="shared" si="73"/>
        <v>6.6578524534067656</v>
      </c>
      <c r="S164" s="157">
        <f t="shared" si="73"/>
        <v>6.5892147992479329</v>
      </c>
      <c r="T164" s="157">
        <f t="shared" si="73"/>
        <v>6.520577145089101</v>
      </c>
      <c r="U164" s="157">
        <f t="shared" si="73"/>
        <v>6.4519394909302683</v>
      </c>
      <c r="V164" s="157">
        <f t="shared" si="73"/>
        <v>6.3833018367714347</v>
      </c>
      <c r="W164" s="157">
        <f t="shared" si="73"/>
        <v>6.3146641826126011</v>
      </c>
      <c r="X164" s="157">
        <f t="shared" si="73"/>
        <v>6.2460265284537693</v>
      </c>
      <c r="Y164" s="157">
        <f t="shared" si="73"/>
        <v>6.1773888742949374</v>
      </c>
      <c r="Z164" s="157">
        <f t="shared" si="73"/>
        <v>6.1087512201361038</v>
      </c>
      <c r="AA164" s="157">
        <f t="shared" si="73"/>
        <v>6.040113565977272</v>
      </c>
      <c r="AB164" s="157">
        <f t="shared" si="73"/>
        <v>5.9714759118184393</v>
      </c>
      <c r="AC164" s="157">
        <f t="shared" si="73"/>
        <v>5.9028382576596066</v>
      </c>
      <c r="AD164" s="157">
        <f t="shared" si="73"/>
        <v>5.8342006035007739</v>
      </c>
      <c r="AE164" s="157">
        <f t="shared" si="73"/>
        <v>5.7655629493419402</v>
      </c>
      <c r="AF164" s="157">
        <f t="shared" si="73"/>
        <v>5.6969252951831075</v>
      </c>
      <c r="AG164" s="157">
        <f t="shared" si="73"/>
        <v>5.6282876410242748</v>
      </c>
      <c r="AH164" s="157">
        <f t="shared" si="73"/>
        <v>5.559649986865443</v>
      </c>
      <c r="AI164" s="157">
        <f t="shared" si="73"/>
        <v>5.4910123327066103</v>
      </c>
      <c r="AJ164" s="157">
        <f t="shared" si="73"/>
        <v>5.4223746785477767</v>
      </c>
      <c r="AK164" s="157">
        <f t="shared" si="73"/>
        <v>5.3537370243889448</v>
      </c>
      <c r="AL164" s="157">
        <f t="shared" si="73"/>
        <v>5.2850993702301121</v>
      </c>
      <c r="AM164" s="157">
        <f t="shared" si="73"/>
        <v>5.2164617160712785</v>
      </c>
      <c r="AN164" s="157">
        <f t="shared" si="73"/>
        <v>5.1478240619124467</v>
      </c>
      <c r="AO164" s="157">
        <f t="shared" si="73"/>
        <v>5.0791864077536131</v>
      </c>
      <c r="AP164" s="157">
        <f t="shared" si="73"/>
        <v>5.0105487535947804</v>
      </c>
      <c r="AQ164" s="157">
        <f t="shared" si="73"/>
        <v>4.9419110994359476</v>
      </c>
      <c r="AR164" s="157">
        <f t="shared" si="73"/>
        <v>4.8732734452771167</v>
      </c>
      <c r="AS164" s="157">
        <f t="shared" si="73"/>
        <v>4.8046357911182831</v>
      </c>
      <c r="AT164" s="157">
        <f t="shared" si="73"/>
        <v>4.7359981369594504</v>
      </c>
      <c r="AU164" s="157">
        <f t="shared" si="73"/>
        <v>4.6673604828006177</v>
      </c>
      <c r="AV164" s="157">
        <f t="shared" si="73"/>
        <v>4.5987228286417841</v>
      </c>
    </row>
    <row r="165" spans="1:48">
      <c r="A165" s="185" t="s">
        <v>16</v>
      </c>
      <c r="B165" s="87" t="str">
        <f t="shared" si="71"/>
        <v>CEL</v>
      </c>
      <c r="C165" s="87" t="str">
        <f t="shared" si="72"/>
        <v>Commercial - Lighting</v>
      </c>
      <c r="E165" s="106"/>
      <c r="F165" s="106"/>
      <c r="I165" s="151"/>
      <c r="J165" s="157">
        <f t="shared" si="73"/>
        <v>97.232217524551132</v>
      </c>
      <c r="K165" s="157">
        <f t="shared" si="73"/>
        <v>94.619905770310211</v>
      </c>
      <c r="L165" s="157">
        <f t="shared" si="73"/>
        <v>92.216641171078479</v>
      </c>
      <c r="M165" s="157">
        <f t="shared" si="73"/>
        <v>89.602679588882765</v>
      </c>
      <c r="N165" s="157">
        <f t="shared" si="73"/>
        <v>86.877609515793239</v>
      </c>
      <c r="O165" s="157">
        <f t="shared" si="73"/>
        <v>83.739423817129023</v>
      </c>
      <c r="P165" s="157">
        <f t="shared" si="73"/>
        <v>82.902029578957737</v>
      </c>
      <c r="Q165" s="157">
        <f t="shared" si="73"/>
        <v>82.064635340786438</v>
      </c>
      <c r="R165" s="157">
        <f t="shared" si="73"/>
        <v>81.227241102615139</v>
      </c>
      <c r="S165" s="157">
        <f t="shared" si="73"/>
        <v>80.389846864443854</v>
      </c>
      <c r="T165" s="157">
        <f t="shared" si="73"/>
        <v>79.552452626272569</v>
      </c>
      <c r="U165" s="157">
        <f t="shared" si="73"/>
        <v>78.715058388101269</v>
      </c>
      <c r="V165" s="157">
        <f t="shared" si="73"/>
        <v>77.87766414992997</v>
      </c>
      <c r="W165" s="157">
        <f t="shared" si="73"/>
        <v>77.040269911758685</v>
      </c>
      <c r="X165" s="157">
        <f t="shared" si="73"/>
        <v>76.2028756735874</v>
      </c>
      <c r="Y165" s="157">
        <f t="shared" si="73"/>
        <v>75.365481435416115</v>
      </c>
      <c r="Z165" s="157">
        <f t="shared" si="73"/>
        <v>74.528087197244815</v>
      </c>
      <c r="AA165" s="157">
        <f t="shared" si="73"/>
        <v>73.690692959073544</v>
      </c>
      <c r="AB165" s="157">
        <f t="shared" si="73"/>
        <v>72.853298720902245</v>
      </c>
      <c r="AC165" s="157">
        <f t="shared" si="73"/>
        <v>72.01590448273096</v>
      </c>
      <c r="AD165" s="157">
        <f t="shared" si="73"/>
        <v>71.178510244559661</v>
      </c>
      <c r="AE165" s="157">
        <f t="shared" si="73"/>
        <v>70.341116006388361</v>
      </c>
      <c r="AF165" s="157">
        <f t="shared" si="73"/>
        <v>69.503721768217076</v>
      </c>
      <c r="AG165" s="157">
        <f t="shared" si="73"/>
        <v>68.666327530045791</v>
      </c>
      <c r="AH165" s="157">
        <f t="shared" si="73"/>
        <v>67.828933291874492</v>
      </c>
      <c r="AI165" s="157">
        <f t="shared" si="73"/>
        <v>66.991539053703207</v>
      </c>
      <c r="AJ165" s="157">
        <f t="shared" si="73"/>
        <v>66.154144815531907</v>
      </c>
      <c r="AK165" s="157">
        <f t="shared" si="73"/>
        <v>65.316750577360622</v>
      </c>
      <c r="AL165" s="157">
        <f t="shared" si="73"/>
        <v>64.479356339189323</v>
      </c>
      <c r="AM165" s="157">
        <f t="shared" si="73"/>
        <v>63.641962101018045</v>
      </c>
      <c r="AN165" s="157">
        <f t="shared" si="73"/>
        <v>62.804567862846753</v>
      </c>
      <c r="AO165" s="157">
        <f t="shared" si="73"/>
        <v>61.967173624675453</v>
      </c>
      <c r="AP165" s="157">
        <f t="shared" si="73"/>
        <v>61.129779386504161</v>
      </c>
      <c r="AQ165" s="157">
        <f t="shared" si="73"/>
        <v>60.292385148332869</v>
      </c>
      <c r="AR165" s="157">
        <f t="shared" si="73"/>
        <v>59.454990910161591</v>
      </c>
      <c r="AS165" s="157">
        <f t="shared" si="73"/>
        <v>58.617596671990292</v>
      </c>
      <c r="AT165" s="157">
        <f t="shared" si="73"/>
        <v>57.780202433818999</v>
      </c>
      <c r="AU165" s="157">
        <f t="shared" si="73"/>
        <v>56.942808195647714</v>
      </c>
      <c r="AV165" s="157">
        <f t="shared" si="73"/>
        <v>56.105413957476415</v>
      </c>
    </row>
    <row r="166" spans="1:48">
      <c r="A166" s="185" t="s">
        <v>16</v>
      </c>
      <c r="B166" s="87" t="str">
        <f t="shared" si="71"/>
        <v>CER</v>
      </c>
      <c r="C166" s="87" t="str">
        <f t="shared" si="72"/>
        <v>Commercial - Refrigeration</v>
      </c>
      <c r="E166" s="106"/>
      <c r="F166" s="106"/>
      <c r="I166" s="151"/>
      <c r="J166" s="157">
        <f t="shared" si="73"/>
        <v>23.653112298997645</v>
      </c>
      <c r="K166" s="157">
        <f t="shared" si="73"/>
        <v>23.017630512649919</v>
      </c>
      <c r="L166" s="157">
        <f t="shared" si="73"/>
        <v>22.433002403808526</v>
      </c>
      <c r="M166" s="157">
        <f t="shared" si="73"/>
        <v>21.797119273473363</v>
      </c>
      <c r="N166" s="157">
        <f t="shared" si="73"/>
        <v>21.134207431057046</v>
      </c>
      <c r="O166" s="157">
        <f t="shared" si="73"/>
        <v>20.370799369044367</v>
      </c>
      <c r="P166" s="157">
        <f t="shared" si="73"/>
        <v>20.16709137535392</v>
      </c>
      <c r="Q166" s="157">
        <f t="shared" si="73"/>
        <v>19.963383381663476</v>
      </c>
      <c r="R166" s="157">
        <f t="shared" si="73"/>
        <v>19.759675387973033</v>
      </c>
      <c r="S166" s="157">
        <f t="shared" si="73"/>
        <v>19.55596739428259</v>
      </c>
      <c r="T166" s="157">
        <f t="shared" si="73"/>
        <v>19.352259400592146</v>
      </c>
      <c r="U166" s="157">
        <f t="shared" si="73"/>
        <v>19.148551406901703</v>
      </c>
      <c r="V166" s="157">
        <f t="shared" si="73"/>
        <v>18.944843413211256</v>
      </c>
      <c r="W166" s="157">
        <f t="shared" si="73"/>
        <v>18.741135419520813</v>
      </c>
      <c r="X166" s="157">
        <f t="shared" si="73"/>
        <v>18.537427425830369</v>
      </c>
      <c r="Y166" s="157">
        <f t="shared" si="73"/>
        <v>18.333719432139929</v>
      </c>
      <c r="Z166" s="157">
        <f t="shared" si="73"/>
        <v>18.130011438449486</v>
      </c>
      <c r="AA166" s="157">
        <f t="shared" si="73"/>
        <v>17.926303444759039</v>
      </c>
      <c r="AB166" s="157">
        <f t="shared" si="73"/>
        <v>17.722595451068596</v>
      </c>
      <c r="AC166" s="157">
        <f t="shared" si="73"/>
        <v>17.518887457378153</v>
      </c>
      <c r="AD166" s="157">
        <f t="shared" si="73"/>
        <v>17.315179463687709</v>
      </c>
      <c r="AE166" s="157">
        <f t="shared" si="73"/>
        <v>17.111471469997266</v>
      </c>
      <c r="AF166" s="157">
        <f t="shared" si="73"/>
        <v>16.907763476306819</v>
      </c>
      <c r="AG166" s="157">
        <f t="shared" si="73"/>
        <v>16.704055482616376</v>
      </c>
      <c r="AH166" s="157">
        <f t="shared" si="73"/>
        <v>16.500347488925936</v>
      </c>
      <c r="AI166" s="157">
        <f t="shared" si="73"/>
        <v>16.296639495235489</v>
      </c>
      <c r="AJ166" s="157">
        <f t="shared" si="73"/>
        <v>16.092931501545042</v>
      </c>
      <c r="AK166" s="157">
        <f t="shared" si="73"/>
        <v>15.8892235078546</v>
      </c>
      <c r="AL166" s="157">
        <f t="shared" si="73"/>
        <v>15.685515514164157</v>
      </c>
      <c r="AM166" s="157">
        <f t="shared" si="73"/>
        <v>15.481807520473712</v>
      </c>
      <c r="AN166" s="157">
        <f t="shared" si="73"/>
        <v>15.278099526783269</v>
      </c>
      <c r="AO166" s="157">
        <f t="shared" si="73"/>
        <v>15.074391533092824</v>
      </c>
      <c r="AP166" s="157">
        <f t="shared" si="73"/>
        <v>14.87068353940238</v>
      </c>
      <c r="AQ166" s="157">
        <f t="shared" si="73"/>
        <v>14.666975545711937</v>
      </c>
      <c r="AR166" s="157">
        <f t="shared" si="73"/>
        <v>14.463267552021495</v>
      </c>
      <c r="AS166" s="157">
        <f t="shared" si="73"/>
        <v>14.25955955833105</v>
      </c>
      <c r="AT166" s="157">
        <f t="shared" si="73"/>
        <v>14.055851564640607</v>
      </c>
      <c r="AU166" s="157">
        <f t="shared" si="73"/>
        <v>13.852143570950163</v>
      </c>
      <c r="AV166" s="157">
        <f t="shared" si="73"/>
        <v>13.648435577259717</v>
      </c>
    </row>
    <row r="167" spans="1:48">
      <c r="A167" s="185" t="s">
        <v>16</v>
      </c>
      <c r="B167" s="87" t="str">
        <f t="shared" si="71"/>
        <v>CEW</v>
      </c>
      <c r="C167" s="87" t="str">
        <f t="shared" si="72"/>
        <v>Commercial - Water Heating</v>
      </c>
      <c r="E167" s="106"/>
      <c r="F167" s="106"/>
      <c r="I167" s="151"/>
      <c r="J167" s="157">
        <f t="shared" si="73"/>
        <v>7.7464872184600253</v>
      </c>
      <c r="K167" s="157">
        <f t="shared" si="73"/>
        <v>8.2990240988240043</v>
      </c>
      <c r="L167" s="157">
        <f t="shared" si="73"/>
        <v>8.8862772531662575</v>
      </c>
      <c r="M167" s="157">
        <f t="shared" si="73"/>
        <v>9.4714746816451605</v>
      </c>
      <c r="N167" s="157">
        <f t="shared" si="73"/>
        <v>10.062268095442514</v>
      </c>
      <c r="O167" s="157">
        <f t="shared" si="73"/>
        <v>10.619089375975474</v>
      </c>
      <c r="P167" s="157">
        <f t="shared" si="73"/>
        <v>10.51289848221572</v>
      </c>
      <c r="Q167" s="157">
        <f t="shared" si="73"/>
        <v>10.406707588455964</v>
      </c>
      <c r="R167" s="157">
        <f t="shared" si="73"/>
        <v>10.30051669469621</v>
      </c>
      <c r="S167" s="157">
        <f t="shared" si="73"/>
        <v>10.194325800936454</v>
      </c>
      <c r="T167" s="157">
        <f t="shared" si="73"/>
        <v>10.0881349071767</v>
      </c>
      <c r="U167" s="157">
        <f t="shared" si="73"/>
        <v>9.9819440134169461</v>
      </c>
      <c r="V167" s="157">
        <f t="shared" si="73"/>
        <v>9.8757531196571886</v>
      </c>
      <c r="W167" s="157">
        <f t="shared" si="73"/>
        <v>9.7695622258974346</v>
      </c>
      <c r="X167" s="157">
        <f t="shared" si="73"/>
        <v>9.6633713321376806</v>
      </c>
      <c r="Y167" s="157">
        <f t="shared" si="73"/>
        <v>9.5571804383779266</v>
      </c>
      <c r="Z167" s="157">
        <f t="shared" si="73"/>
        <v>9.4509895446181709</v>
      </c>
      <c r="AA167" s="157">
        <f t="shared" si="73"/>
        <v>9.3447986508584169</v>
      </c>
      <c r="AB167" s="157">
        <f t="shared" si="73"/>
        <v>9.2386077570986611</v>
      </c>
      <c r="AC167" s="157">
        <f t="shared" si="73"/>
        <v>9.1324168633389071</v>
      </c>
      <c r="AD167" s="157">
        <f t="shared" si="73"/>
        <v>9.0262259695791531</v>
      </c>
      <c r="AE167" s="157">
        <f t="shared" si="73"/>
        <v>8.9200350758193956</v>
      </c>
      <c r="AF167" s="157">
        <f t="shared" si="73"/>
        <v>8.8138441820596416</v>
      </c>
      <c r="AG167" s="157">
        <f t="shared" si="73"/>
        <v>8.7076532882998876</v>
      </c>
      <c r="AH167" s="157">
        <f t="shared" si="73"/>
        <v>8.6014623945401318</v>
      </c>
      <c r="AI167" s="157">
        <f t="shared" si="73"/>
        <v>8.4952715007803778</v>
      </c>
      <c r="AJ167" s="157">
        <f t="shared" si="73"/>
        <v>8.3890806070206221</v>
      </c>
      <c r="AK167" s="157">
        <f t="shared" si="73"/>
        <v>8.2828897132608681</v>
      </c>
      <c r="AL167" s="157">
        <f t="shared" si="73"/>
        <v>8.1766988195011123</v>
      </c>
      <c r="AM167" s="157">
        <f t="shared" si="73"/>
        <v>8.0705079257413583</v>
      </c>
      <c r="AN167" s="157">
        <f t="shared" si="73"/>
        <v>7.9643170319816035</v>
      </c>
      <c r="AO167" s="157">
        <f t="shared" si="73"/>
        <v>7.8581261382218468</v>
      </c>
      <c r="AP167" s="157">
        <f t="shared" si="73"/>
        <v>7.7519352444620928</v>
      </c>
      <c r="AQ167" s="157">
        <f t="shared" si="73"/>
        <v>7.6457443507023379</v>
      </c>
      <c r="AR167" s="157">
        <f t="shared" si="73"/>
        <v>7.5395534569425848</v>
      </c>
      <c r="AS167" s="157">
        <f t="shared" si="73"/>
        <v>7.4333625631828291</v>
      </c>
      <c r="AT167" s="157">
        <f t="shared" si="73"/>
        <v>7.3271716694230742</v>
      </c>
      <c r="AU167" s="157">
        <f t="shared" si="73"/>
        <v>7.2209807756633202</v>
      </c>
      <c r="AV167" s="157">
        <f t="shared" si="73"/>
        <v>7.1147898819035635</v>
      </c>
    </row>
    <row r="168" spans="1:48">
      <c r="A168" s="185" t="s">
        <v>16</v>
      </c>
      <c r="B168" s="87" t="str">
        <f t="shared" si="71"/>
        <v>CEG</v>
      </c>
      <c r="C168" s="87" t="str">
        <f t="shared" si="72"/>
        <v>Commercial - Public lights</v>
      </c>
      <c r="E168" s="106"/>
      <c r="F168" s="106"/>
      <c r="I168" s="151"/>
      <c r="J168" s="157">
        <f t="shared" si="73"/>
        <v>0</v>
      </c>
      <c r="K168" s="157">
        <f t="shared" si="73"/>
        <v>0</v>
      </c>
      <c r="L168" s="157">
        <f t="shared" si="73"/>
        <v>0</v>
      </c>
      <c r="M168" s="157">
        <f t="shared" si="73"/>
        <v>0</v>
      </c>
      <c r="N168" s="157">
        <f t="shared" si="73"/>
        <v>0</v>
      </c>
      <c r="O168" s="157">
        <f t="shared" si="73"/>
        <v>0</v>
      </c>
      <c r="P168" s="157">
        <f t="shared" si="73"/>
        <v>0</v>
      </c>
      <c r="Q168" s="157">
        <f t="shared" si="73"/>
        <v>0</v>
      </c>
      <c r="R168" s="157">
        <f t="shared" si="73"/>
        <v>0</v>
      </c>
      <c r="S168" s="157">
        <f t="shared" si="73"/>
        <v>0</v>
      </c>
      <c r="T168" s="157">
        <f t="shared" si="73"/>
        <v>0</v>
      </c>
      <c r="U168" s="157">
        <f t="shared" si="73"/>
        <v>0</v>
      </c>
      <c r="V168" s="157">
        <f t="shared" si="73"/>
        <v>0</v>
      </c>
      <c r="W168" s="157">
        <f t="shared" si="73"/>
        <v>0</v>
      </c>
      <c r="X168" s="157">
        <f t="shared" si="73"/>
        <v>0</v>
      </c>
      <c r="Y168" s="157">
        <f t="shared" si="73"/>
        <v>0</v>
      </c>
      <c r="Z168" s="157">
        <f t="shared" si="73"/>
        <v>0</v>
      </c>
      <c r="AA168" s="157">
        <f t="shared" si="73"/>
        <v>0</v>
      </c>
      <c r="AB168" s="157">
        <f t="shared" si="73"/>
        <v>0</v>
      </c>
      <c r="AC168" s="157">
        <f t="shared" si="73"/>
        <v>0</v>
      </c>
      <c r="AD168" s="157">
        <f t="shared" si="73"/>
        <v>0</v>
      </c>
      <c r="AE168" s="157">
        <f t="shared" si="73"/>
        <v>0</v>
      </c>
      <c r="AF168" s="157">
        <f t="shared" ref="AF168:AV168" si="74">AF$35*AF76/1000</f>
        <v>0</v>
      </c>
      <c r="AG168" s="157">
        <f t="shared" si="74"/>
        <v>0</v>
      </c>
      <c r="AH168" s="157">
        <f t="shared" si="74"/>
        <v>0</v>
      </c>
      <c r="AI168" s="157">
        <f t="shared" si="74"/>
        <v>0</v>
      </c>
      <c r="AJ168" s="157">
        <f t="shared" si="74"/>
        <v>0</v>
      </c>
      <c r="AK168" s="157">
        <f t="shared" si="74"/>
        <v>0</v>
      </c>
      <c r="AL168" s="157">
        <f t="shared" si="74"/>
        <v>0</v>
      </c>
      <c r="AM168" s="157">
        <f t="shared" si="74"/>
        <v>0</v>
      </c>
      <c r="AN168" s="157">
        <f t="shared" si="74"/>
        <v>0</v>
      </c>
      <c r="AO168" s="157">
        <f t="shared" si="74"/>
        <v>0</v>
      </c>
      <c r="AP168" s="157">
        <f t="shared" si="74"/>
        <v>0</v>
      </c>
      <c r="AQ168" s="157">
        <f t="shared" si="74"/>
        <v>0</v>
      </c>
      <c r="AR168" s="157">
        <f t="shared" si="74"/>
        <v>0</v>
      </c>
      <c r="AS168" s="157">
        <f t="shared" si="74"/>
        <v>0</v>
      </c>
      <c r="AT168" s="157">
        <f t="shared" si="74"/>
        <v>0</v>
      </c>
      <c r="AU168" s="157">
        <f t="shared" si="74"/>
        <v>0</v>
      </c>
      <c r="AV168" s="157">
        <f t="shared" si="74"/>
        <v>0</v>
      </c>
    </row>
    <row r="169" spans="1:48">
      <c r="A169" s="185" t="s">
        <v>16</v>
      </c>
      <c r="B169" s="87" t="str">
        <f t="shared" si="71"/>
        <v>CET</v>
      </c>
      <c r="C169" s="87" t="str">
        <f t="shared" si="72"/>
        <v>Commercial - Public Water</v>
      </c>
      <c r="E169" s="106"/>
      <c r="F169" s="106"/>
      <c r="I169" s="151"/>
      <c r="J169" s="157">
        <f t="shared" ref="J169:AV170" si="75">J$35*J77/1000</f>
        <v>0</v>
      </c>
      <c r="K169" s="157">
        <f t="shared" si="75"/>
        <v>0</v>
      </c>
      <c r="L169" s="157">
        <f t="shared" si="75"/>
        <v>0</v>
      </c>
      <c r="M169" s="157">
        <f t="shared" si="75"/>
        <v>0</v>
      </c>
      <c r="N169" s="157">
        <f t="shared" si="75"/>
        <v>0</v>
      </c>
      <c r="O169" s="157">
        <f t="shared" si="75"/>
        <v>0</v>
      </c>
      <c r="P169" s="157">
        <f t="shared" si="75"/>
        <v>0</v>
      </c>
      <c r="Q169" s="157">
        <f t="shared" si="75"/>
        <v>0</v>
      </c>
      <c r="R169" s="157">
        <f t="shared" si="75"/>
        <v>0</v>
      </c>
      <c r="S169" s="157">
        <f t="shared" si="75"/>
        <v>0</v>
      </c>
      <c r="T169" s="157">
        <f t="shared" si="75"/>
        <v>0</v>
      </c>
      <c r="U169" s="157">
        <f t="shared" si="75"/>
        <v>0</v>
      </c>
      <c r="V169" s="157">
        <f t="shared" si="75"/>
        <v>0</v>
      </c>
      <c r="W169" s="157">
        <f t="shared" si="75"/>
        <v>0</v>
      </c>
      <c r="X169" s="157">
        <f t="shared" si="75"/>
        <v>0</v>
      </c>
      <c r="Y169" s="157">
        <f t="shared" si="75"/>
        <v>0</v>
      </c>
      <c r="Z169" s="157">
        <f t="shared" si="75"/>
        <v>0</v>
      </c>
      <c r="AA169" s="157">
        <f t="shared" si="75"/>
        <v>0</v>
      </c>
      <c r="AB169" s="157">
        <f t="shared" si="75"/>
        <v>0</v>
      </c>
      <c r="AC169" s="157">
        <f t="shared" si="75"/>
        <v>0</v>
      </c>
      <c r="AD169" s="157">
        <f t="shared" si="75"/>
        <v>0</v>
      </c>
      <c r="AE169" s="157">
        <f t="shared" si="75"/>
        <v>0</v>
      </c>
      <c r="AF169" s="157">
        <f t="shared" si="75"/>
        <v>0</v>
      </c>
      <c r="AG169" s="157">
        <f t="shared" si="75"/>
        <v>0</v>
      </c>
      <c r="AH169" s="157">
        <f t="shared" si="75"/>
        <v>0</v>
      </c>
      <c r="AI169" s="157">
        <f t="shared" si="75"/>
        <v>0</v>
      </c>
      <c r="AJ169" s="157">
        <f t="shared" si="75"/>
        <v>0</v>
      </c>
      <c r="AK169" s="157">
        <f t="shared" si="75"/>
        <v>0</v>
      </c>
      <c r="AL169" s="157">
        <f t="shared" si="75"/>
        <v>0</v>
      </c>
      <c r="AM169" s="157">
        <f t="shared" si="75"/>
        <v>0</v>
      </c>
      <c r="AN169" s="157">
        <f t="shared" si="75"/>
        <v>0</v>
      </c>
      <c r="AO169" s="157">
        <f t="shared" si="75"/>
        <v>0</v>
      </c>
      <c r="AP169" s="157">
        <f t="shared" si="75"/>
        <v>0</v>
      </c>
      <c r="AQ169" s="157">
        <f t="shared" si="75"/>
        <v>0</v>
      </c>
      <c r="AR169" s="157">
        <f t="shared" si="75"/>
        <v>0</v>
      </c>
      <c r="AS169" s="157">
        <f t="shared" si="75"/>
        <v>0</v>
      </c>
      <c r="AT169" s="157">
        <f t="shared" si="75"/>
        <v>0</v>
      </c>
      <c r="AU169" s="157">
        <f t="shared" si="75"/>
        <v>0</v>
      </c>
      <c r="AV169" s="157">
        <f t="shared" si="75"/>
        <v>0</v>
      </c>
    </row>
    <row r="170" spans="1:48">
      <c r="A170" s="185" t="s">
        <v>16</v>
      </c>
      <c r="B170" s="87" t="str">
        <f t="shared" si="71"/>
        <v>CEO</v>
      </c>
      <c r="C170" s="87" t="str">
        <f t="shared" si="72"/>
        <v>Commercial - Other</v>
      </c>
      <c r="E170" s="106"/>
      <c r="F170" s="106"/>
      <c r="I170" s="151"/>
      <c r="J170" s="157">
        <f t="shared" si="75"/>
        <v>15.008147485663144</v>
      </c>
      <c r="K170" s="157">
        <f t="shared" si="75"/>
        <v>14.734783264676375</v>
      </c>
      <c r="L170" s="157">
        <f t="shared" si="75"/>
        <v>14.496769593599147</v>
      </c>
      <c r="M170" s="157">
        <f t="shared" si="75"/>
        <v>14.228748783552332</v>
      </c>
      <c r="N170" s="157">
        <f t="shared" si="75"/>
        <v>13.946044454690799</v>
      </c>
      <c r="O170" s="157">
        <f t="shared" si="75"/>
        <v>13.599393396635234</v>
      </c>
      <c r="P170" s="157">
        <f t="shared" si="75"/>
        <v>13.463399462668884</v>
      </c>
      <c r="Q170" s="157">
        <f t="shared" si="75"/>
        <v>13.327405528702529</v>
      </c>
      <c r="R170" s="157">
        <f t="shared" si="75"/>
        <v>13.191411594736177</v>
      </c>
      <c r="S170" s="157">
        <f t="shared" si="75"/>
        <v>13.055417660769825</v>
      </c>
      <c r="T170" s="157">
        <f t="shared" si="75"/>
        <v>12.919423726803473</v>
      </c>
      <c r="U170" s="157">
        <f t="shared" si="75"/>
        <v>12.78342979283712</v>
      </c>
      <c r="V170" s="157">
        <f t="shared" si="75"/>
        <v>12.647435858870766</v>
      </c>
      <c r="W170" s="157">
        <f t="shared" si="75"/>
        <v>12.511441924904416</v>
      </c>
      <c r="X170" s="157">
        <f t="shared" si="75"/>
        <v>12.375447990938062</v>
      </c>
      <c r="Y170" s="157">
        <f t="shared" si="75"/>
        <v>12.239454056971711</v>
      </c>
      <c r="Z170" s="157">
        <f t="shared" si="75"/>
        <v>12.103460123005357</v>
      </c>
      <c r="AA170" s="157">
        <f t="shared" si="75"/>
        <v>11.967466189039005</v>
      </c>
      <c r="AB170" s="157">
        <f t="shared" si="75"/>
        <v>11.831472255072653</v>
      </c>
      <c r="AC170" s="157">
        <f t="shared" si="75"/>
        <v>11.6954783211063</v>
      </c>
      <c r="AD170" s="157">
        <f t="shared" si="75"/>
        <v>11.559484387139948</v>
      </c>
      <c r="AE170" s="157">
        <f t="shared" si="75"/>
        <v>11.423490453173596</v>
      </c>
      <c r="AF170" s="157">
        <f t="shared" si="75"/>
        <v>11.287496519207243</v>
      </c>
      <c r="AG170" s="157">
        <f t="shared" si="75"/>
        <v>11.151502585240891</v>
      </c>
      <c r="AH170" s="157">
        <f t="shared" si="75"/>
        <v>11.015508651274539</v>
      </c>
      <c r="AI170" s="157">
        <f t="shared" si="75"/>
        <v>10.879514717308187</v>
      </c>
      <c r="AJ170" s="157">
        <f t="shared" si="75"/>
        <v>10.743520783341832</v>
      </c>
      <c r="AK170" s="157">
        <f t="shared" si="75"/>
        <v>10.607526849375478</v>
      </c>
      <c r="AL170" s="157">
        <f t="shared" si="75"/>
        <v>10.471532915409126</v>
      </c>
      <c r="AM170" s="157">
        <f t="shared" si="75"/>
        <v>10.335538981442776</v>
      </c>
      <c r="AN170" s="157">
        <f t="shared" si="75"/>
        <v>10.199545047476423</v>
      </c>
      <c r="AO170" s="157">
        <f t="shared" si="75"/>
        <v>10.063551113510069</v>
      </c>
      <c r="AP170" s="157">
        <f t="shared" si="75"/>
        <v>9.927557179543717</v>
      </c>
      <c r="AQ170" s="157">
        <f t="shared" si="75"/>
        <v>9.7915632455773647</v>
      </c>
      <c r="AR170" s="157">
        <f t="shared" si="75"/>
        <v>9.6555693116110142</v>
      </c>
      <c r="AS170" s="157">
        <f t="shared" si="75"/>
        <v>9.5195753776446601</v>
      </c>
      <c r="AT170" s="157">
        <f t="shared" si="75"/>
        <v>9.3835814436783078</v>
      </c>
      <c r="AU170" s="157">
        <f t="shared" si="75"/>
        <v>9.2475875097119573</v>
      </c>
      <c r="AV170" s="157">
        <f t="shared" si="75"/>
        <v>9.1115935757456032</v>
      </c>
    </row>
    <row r="171" spans="1:48">
      <c r="A171" s="185" t="s">
        <v>16</v>
      </c>
      <c r="E171" s="106"/>
      <c r="F171" s="106"/>
      <c r="I171" s="151"/>
      <c r="J171" s="94"/>
      <c r="K171" s="94"/>
      <c r="L171" s="94"/>
      <c r="M171" s="94"/>
      <c r="N171" s="94"/>
      <c r="O171" s="94"/>
      <c r="P171" s="94"/>
      <c r="Q171" s="94"/>
      <c r="R171" s="94"/>
      <c r="S171" s="94"/>
      <c r="T171" s="94"/>
      <c r="U171" s="94"/>
      <c r="V171" s="94"/>
      <c r="W171" s="94"/>
      <c r="X171" s="94"/>
      <c r="Y171" s="94"/>
      <c r="Z171" s="94"/>
      <c r="AA171" s="94"/>
      <c r="AB171" s="94"/>
      <c r="AC171" s="94"/>
      <c r="AD171" s="94"/>
      <c r="AE171" s="94"/>
      <c r="AF171" s="94"/>
      <c r="AG171" s="94"/>
      <c r="AH171" s="94"/>
      <c r="AI171" s="94"/>
      <c r="AJ171" s="94"/>
      <c r="AK171" s="94"/>
      <c r="AL171" s="94"/>
      <c r="AM171" s="94"/>
      <c r="AN171" s="94"/>
      <c r="AO171" s="94"/>
      <c r="AP171" s="94"/>
      <c r="AQ171" s="94"/>
      <c r="AR171" s="94"/>
      <c r="AS171" s="94"/>
      <c r="AT171" s="94"/>
      <c r="AU171" s="94"/>
      <c r="AV171" s="94"/>
    </row>
    <row r="172" spans="1:48">
      <c r="A172" s="185" t="s">
        <v>16</v>
      </c>
      <c r="E172" s="106"/>
      <c r="F172" s="106"/>
      <c r="I172" s="155"/>
      <c r="J172" s="94"/>
      <c r="K172" s="94"/>
      <c r="L172" s="94"/>
      <c r="M172" s="94"/>
      <c r="N172" s="94"/>
      <c r="O172" s="94"/>
      <c r="P172" s="94"/>
      <c r="Q172" s="94"/>
      <c r="R172" s="94"/>
      <c r="S172" s="94"/>
      <c r="T172" s="94"/>
      <c r="U172" s="94"/>
      <c r="V172" s="94"/>
      <c r="W172" s="94"/>
      <c r="X172" s="94"/>
      <c r="Y172" s="94"/>
      <c r="Z172" s="94"/>
      <c r="AA172" s="94"/>
      <c r="AB172" s="94"/>
      <c r="AC172" s="94"/>
      <c r="AD172" s="94"/>
      <c r="AE172" s="94"/>
      <c r="AF172" s="94"/>
      <c r="AG172" s="94"/>
      <c r="AH172" s="94"/>
      <c r="AI172" s="94"/>
      <c r="AJ172" s="94"/>
      <c r="AK172" s="94"/>
      <c r="AL172" s="94"/>
      <c r="AM172" s="94"/>
      <c r="AN172" s="94"/>
      <c r="AO172" s="94"/>
      <c r="AP172" s="94"/>
      <c r="AQ172" s="94"/>
      <c r="AR172" s="94"/>
      <c r="AS172" s="94"/>
      <c r="AT172" s="94"/>
      <c r="AU172" s="94"/>
      <c r="AV172" s="94"/>
    </row>
    <row r="173" spans="1:48" ht="15.75" thickBot="1">
      <c r="A173" s="185" t="s">
        <v>16</v>
      </c>
      <c r="B173" s="156" t="s">
        <v>483</v>
      </c>
      <c r="C173" s="85"/>
      <c r="D173" s="85"/>
      <c r="I173" s="155" t="s">
        <v>109</v>
      </c>
      <c r="J173" s="94"/>
      <c r="K173" s="94"/>
      <c r="L173" s="94"/>
      <c r="M173" s="94"/>
      <c r="N173" s="94"/>
      <c r="O173" s="94"/>
      <c r="P173" s="94"/>
      <c r="Q173" s="94"/>
      <c r="R173" s="94"/>
      <c r="S173" s="94"/>
      <c r="T173" s="94"/>
      <c r="U173" s="94"/>
      <c r="V173" s="94"/>
      <c r="W173" s="94"/>
      <c r="X173" s="94"/>
      <c r="Y173" s="94"/>
      <c r="Z173" s="94"/>
      <c r="AA173" s="94"/>
      <c r="AB173" s="94"/>
      <c r="AC173" s="94"/>
      <c r="AD173" s="94"/>
      <c r="AE173" s="94"/>
      <c r="AF173" s="94"/>
      <c r="AG173" s="94"/>
      <c r="AH173" s="94"/>
      <c r="AI173" s="94"/>
      <c r="AJ173" s="94"/>
      <c r="AK173" s="94"/>
      <c r="AL173" s="94"/>
      <c r="AM173" s="94"/>
      <c r="AN173" s="94"/>
      <c r="AO173" s="94"/>
      <c r="AP173" s="94"/>
      <c r="AQ173" s="94"/>
      <c r="AR173" s="94"/>
      <c r="AS173" s="94"/>
      <c r="AT173" s="94"/>
      <c r="AU173" s="94"/>
      <c r="AV173" s="94"/>
    </row>
    <row r="174" spans="1:48">
      <c r="A174" s="185" t="s">
        <v>16</v>
      </c>
      <c r="B174" s="87" t="str">
        <f t="shared" ref="B174:B182" si="76">B105</f>
        <v>CNC</v>
      </c>
      <c r="C174" s="87" t="str">
        <f t="shared" ref="C174:C182" si="77">C162</f>
        <v>Commercial - Cooling</v>
      </c>
      <c r="E174" s="106"/>
      <c r="F174" s="106"/>
      <c r="I174" s="155"/>
      <c r="J174" s="157">
        <f t="shared" ref="J174:Y182" si="78">INDEX(J$49:J$52,MATCH($I$173,$B$49:$B$52,0),1)*INDEX(J$81:J$89,MATCH($B174,$B$81:$B$89,0))*INDEX(J$105:J$113,MATCH($B174,$B$105:$B$113,0))/1000</f>
        <v>0</v>
      </c>
      <c r="K174" s="157">
        <f t="shared" si="78"/>
        <v>0</v>
      </c>
      <c r="L174" s="157">
        <f t="shared" si="78"/>
        <v>0</v>
      </c>
      <c r="M174" s="157">
        <f t="shared" si="78"/>
        <v>0</v>
      </c>
      <c r="N174" s="157">
        <f t="shared" si="78"/>
        <v>0</v>
      </c>
      <c r="O174" s="157">
        <f t="shared" si="78"/>
        <v>0</v>
      </c>
      <c r="P174" s="157">
        <f t="shared" si="78"/>
        <v>0</v>
      </c>
      <c r="Q174" s="157">
        <f t="shared" si="78"/>
        <v>0</v>
      </c>
      <c r="R174" s="157">
        <f t="shared" si="78"/>
        <v>0</v>
      </c>
      <c r="S174" s="157">
        <f t="shared" si="78"/>
        <v>0</v>
      </c>
      <c r="T174" s="157">
        <f t="shared" si="78"/>
        <v>0</v>
      </c>
      <c r="U174" s="157">
        <f t="shared" si="78"/>
        <v>0</v>
      </c>
      <c r="V174" s="157">
        <f t="shared" si="78"/>
        <v>0</v>
      </c>
      <c r="W174" s="157">
        <f t="shared" si="78"/>
        <v>0</v>
      </c>
      <c r="X174" s="157">
        <f t="shared" si="78"/>
        <v>0</v>
      </c>
      <c r="Y174" s="157">
        <f t="shared" si="78"/>
        <v>0</v>
      </c>
      <c r="Z174" s="157">
        <f t="shared" ref="Z174:AO182" si="79">INDEX(Z$49:Z$52,MATCH($I$173,$B$49:$B$52,0),1)*INDEX(Z$81:Z$89,MATCH($B174,$B$81:$B$89,0))*INDEX(Z$105:Z$113,MATCH($B174,$B$105:$B$113,0))/1000</f>
        <v>0</v>
      </c>
      <c r="AA174" s="157">
        <f t="shared" si="79"/>
        <v>0</v>
      </c>
      <c r="AB174" s="157">
        <f t="shared" si="79"/>
        <v>0</v>
      </c>
      <c r="AC174" s="157">
        <f t="shared" si="79"/>
        <v>0</v>
      </c>
      <c r="AD174" s="157">
        <f t="shared" si="79"/>
        <v>0</v>
      </c>
      <c r="AE174" s="157">
        <f t="shared" si="79"/>
        <v>0</v>
      </c>
      <c r="AF174" s="157">
        <f t="shared" si="79"/>
        <v>0</v>
      </c>
      <c r="AG174" s="157">
        <f t="shared" si="79"/>
        <v>0</v>
      </c>
      <c r="AH174" s="157">
        <f t="shared" si="79"/>
        <v>0</v>
      </c>
      <c r="AI174" s="157">
        <f t="shared" si="79"/>
        <v>0</v>
      </c>
      <c r="AJ174" s="157">
        <f t="shared" si="79"/>
        <v>0</v>
      </c>
      <c r="AK174" s="157">
        <f t="shared" si="79"/>
        <v>0</v>
      </c>
      <c r="AL174" s="157">
        <f t="shared" si="79"/>
        <v>0</v>
      </c>
      <c r="AM174" s="157">
        <f t="shared" si="79"/>
        <v>0</v>
      </c>
      <c r="AN174" s="157">
        <f t="shared" si="79"/>
        <v>0</v>
      </c>
      <c r="AO174" s="157">
        <f t="shared" si="79"/>
        <v>0</v>
      </c>
      <c r="AP174" s="157">
        <f t="shared" ref="AN174:AV182" si="80">INDEX(AP$49:AP$52,MATCH($I$173,$B$49:$B$52,0),1)*INDEX(AP$81:AP$89,MATCH($B174,$B$81:$B$89,0))*INDEX(AP$105:AP$113,MATCH($B174,$B$105:$B$113,0))/1000</f>
        <v>0</v>
      </c>
      <c r="AQ174" s="157">
        <f t="shared" si="80"/>
        <v>0</v>
      </c>
      <c r="AR174" s="157">
        <f t="shared" si="80"/>
        <v>0</v>
      </c>
      <c r="AS174" s="157">
        <f t="shared" si="80"/>
        <v>0</v>
      </c>
      <c r="AT174" s="157">
        <f t="shared" si="80"/>
        <v>0</v>
      </c>
      <c r="AU174" s="157">
        <f t="shared" si="80"/>
        <v>0</v>
      </c>
      <c r="AV174" s="157">
        <f t="shared" si="80"/>
        <v>0</v>
      </c>
    </row>
    <row r="175" spans="1:48">
      <c r="A175" s="185" t="s">
        <v>16</v>
      </c>
      <c r="B175" s="87" t="str">
        <f t="shared" si="76"/>
        <v>CNH</v>
      </c>
      <c r="C175" s="87" t="str">
        <f t="shared" si="77"/>
        <v>Commercial - Space Heating</v>
      </c>
      <c r="E175" s="106"/>
      <c r="F175" s="106"/>
      <c r="I175" s="155"/>
      <c r="J175" s="157">
        <f t="shared" si="78"/>
        <v>0</v>
      </c>
      <c r="K175" s="157">
        <f t="shared" si="78"/>
        <v>0</v>
      </c>
      <c r="L175" s="157">
        <f t="shared" si="78"/>
        <v>0</v>
      </c>
      <c r="M175" s="157">
        <f t="shared" si="78"/>
        <v>0</v>
      </c>
      <c r="N175" s="157">
        <f t="shared" si="78"/>
        <v>0</v>
      </c>
      <c r="O175" s="157">
        <f t="shared" si="78"/>
        <v>0</v>
      </c>
      <c r="P175" s="157">
        <f t="shared" si="78"/>
        <v>0</v>
      </c>
      <c r="Q175" s="157">
        <f t="shared" si="78"/>
        <v>0</v>
      </c>
      <c r="R175" s="157">
        <f t="shared" si="78"/>
        <v>0</v>
      </c>
      <c r="S175" s="157">
        <f t="shared" si="78"/>
        <v>0</v>
      </c>
      <c r="T175" s="157">
        <f t="shared" si="78"/>
        <v>0</v>
      </c>
      <c r="U175" s="157">
        <f t="shared" si="78"/>
        <v>0</v>
      </c>
      <c r="V175" s="157">
        <f t="shared" si="78"/>
        <v>0</v>
      </c>
      <c r="W175" s="157">
        <f t="shared" si="78"/>
        <v>0</v>
      </c>
      <c r="X175" s="157">
        <f t="shared" si="78"/>
        <v>0</v>
      </c>
      <c r="Y175" s="157">
        <f t="shared" si="78"/>
        <v>0</v>
      </c>
      <c r="Z175" s="157">
        <f t="shared" si="79"/>
        <v>0</v>
      </c>
      <c r="AA175" s="157">
        <f t="shared" si="79"/>
        <v>0</v>
      </c>
      <c r="AB175" s="157">
        <f t="shared" si="79"/>
        <v>0</v>
      </c>
      <c r="AC175" s="157">
        <f t="shared" si="79"/>
        <v>0</v>
      </c>
      <c r="AD175" s="157">
        <f t="shared" si="79"/>
        <v>0</v>
      </c>
      <c r="AE175" s="157">
        <f t="shared" si="79"/>
        <v>0</v>
      </c>
      <c r="AF175" s="157">
        <f t="shared" si="79"/>
        <v>0</v>
      </c>
      <c r="AG175" s="157">
        <f t="shared" si="79"/>
        <v>0</v>
      </c>
      <c r="AH175" s="157">
        <f t="shared" si="79"/>
        <v>0</v>
      </c>
      <c r="AI175" s="157">
        <f t="shared" si="79"/>
        <v>0</v>
      </c>
      <c r="AJ175" s="157">
        <f t="shared" si="79"/>
        <v>0</v>
      </c>
      <c r="AK175" s="157">
        <f t="shared" si="79"/>
        <v>0</v>
      </c>
      <c r="AL175" s="157">
        <f t="shared" si="79"/>
        <v>0</v>
      </c>
      <c r="AM175" s="157">
        <f t="shared" si="79"/>
        <v>0</v>
      </c>
      <c r="AN175" s="157">
        <f t="shared" si="80"/>
        <v>0</v>
      </c>
      <c r="AO175" s="157">
        <f t="shared" si="80"/>
        <v>0</v>
      </c>
      <c r="AP175" s="157">
        <f t="shared" si="80"/>
        <v>0</v>
      </c>
      <c r="AQ175" s="157">
        <f t="shared" si="80"/>
        <v>0</v>
      </c>
      <c r="AR175" s="157">
        <f t="shared" si="80"/>
        <v>0</v>
      </c>
      <c r="AS175" s="157">
        <f t="shared" si="80"/>
        <v>0</v>
      </c>
      <c r="AT175" s="157">
        <f t="shared" si="80"/>
        <v>0</v>
      </c>
      <c r="AU175" s="157">
        <f t="shared" si="80"/>
        <v>0</v>
      </c>
      <c r="AV175" s="157">
        <f t="shared" si="80"/>
        <v>0</v>
      </c>
    </row>
    <row r="176" spans="1:48">
      <c r="A176" s="185" t="s">
        <v>16</v>
      </c>
      <c r="B176" s="87" t="str">
        <f t="shared" si="76"/>
        <v>CNK</v>
      </c>
      <c r="C176" s="87" t="str">
        <f t="shared" si="77"/>
        <v>Commercial - Cooking</v>
      </c>
      <c r="E176" s="106"/>
      <c r="F176" s="106"/>
      <c r="I176" s="155"/>
      <c r="J176" s="157">
        <f t="shared" si="78"/>
        <v>0</v>
      </c>
      <c r="K176" s="157">
        <f t="shared" si="78"/>
        <v>0</v>
      </c>
      <c r="L176" s="157">
        <f t="shared" si="78"/>
        <v>0</v>
      </c>
      <c r="M176" s="157">
        <f t="shared" si="78"/>
        <v>0</v>
      </c>
      <c r="N176" s="157">
        <f t="shared" si="78"/>
        <v>0</v>
      </c>
      <c r="O176" s="157">
        <f t="shared" si="78"/>
        <v>0</v>
      </c>
      <c r="P176" s="157">
        <f t="shared" si="78"/>
        <v>0</v>
      </c>
      <c r="Q176" s="157">
        <f t="shared" si="78"/>
        <v>0</v>
      </c>
      <c r="R176" s="157">
        <f t="shared" si="78"/>
        <v>0</v>
      </c>
      <c r="S176" s="157">
        <f t="shared" si="78"/>
        <v>0</v>
      </c>
      <c r="T176" s="157">
        <f t="shared" si="78"/>
        <v>0</v>
      </c>
      <c r="U176" s="157">
        <f t="shared" si="78"/>
        <v>0</v>
      </c>
      <c r="V176" s="157">
        <f t="shared" si="78"/>
        <v>0</v>
      </c>
      <c r="W176" s="157">
        <f t="shared" si="78"/>
        <v>0</v>
      </c>
      <c r="X176" s="157">
        <f t="shared" si="78"/>
        <v>0</v>
      </c>
      <c r="Y176" s="157">
        <f t="shared" si="78"/>
        <v>0</v>
      </c>
      <c r="Z176" s="157">
        <f t="shared" si="79"/>
        <v>0</v>
      </c>
      <c r="AA176" s="157">
        <f t="shared" si="79"/>
        <v>0</v>
      </c>
      <c r="AB176" s="157">
        <f t="shared" si="79"/>
        <v>0</v>
      </c>
      <c r="AC176" s="157">
        <f t="shared" si="79"/>
        <v>0</v>
      </c>
      <c r="AD176" s="157">
        <f t="shared" si="79"/>
        <v>0</v>
      </c>
      <c r="AE176" s="157">
        <f t="shared" si="79"/>
        <v>0</v>
      </c>
      <c r="AF176" s="157">
        <f t="shared" si="79"/>
        <v>0</v>
      </c>
      <c r="AG176" s="157">
        <f t="shared" si="79"/>
        <v>0</v>
      </c>
      <c r="AH176" s="157">
        <f t="shared" si="79"/>
        <v>0</v>
      </c>
      <c r="AI176" s="157">
        <f t="shared" si="79"/>
        <v>0</v>
      </c>
      <c r="AJ176" s="157">
        <f t="shared" si="79"/>
        <v>0</v>
      </c>
      <c r="AK176" s="157">
        <f t="shared" si="79"/>
        <v>0</v>
      </c>
      <c r="AL176" s="157">
        <f t="shared" si="79"/>
        <v>0</v>
      </c>
      <c r="AM176" s="157">
        <f t="shared" si="79"/>
        <v>0</v>
      </c>
      <c r="AN176" s="157">
        <f t="shared" si="80"/>
        <v>0</v>
      </c>
      <c r="AO176" s="157">
        <f t="shared" si="80"/>
        <v>0</v>
      </c>
      <c r="AP176" s="157">
        <f t="shared" si="80"/>
        <v>0</v>
      </c>
      <c r="AQ176" s="157">
        <f t="shared" si="80"/>
        <v>0</v>
      </c>
      <c r="AR176" s="157">
        <f t="shared" si="80"/>
        <v>0</v>
      </c>
      <c r="AS176" s="157">
        <f t="shared" si="80"/>
        <v>0</v>
      </c>
      <c r="AT176" s="157">
        <f t="shared" si="80"/>
        <v>0</v>
      </c>
      <c r="AU176" s="157">
        <f t="shared" si="80"/>
        <v>0</v>
      </c>
      <c r="AV176" s="157">
        <f t="shared" si="80"/>
        <v>0</v>
      </c>
    </row>
    <row r="177" spans="1:48">
      <c r="A177" s="185" t="s">
        <v>16</v>
      </c>
      <c r="B177" s="87" t="str">
        <f t="shared" si="76"/>
        <v>CNL</v>
      </c>
      <c r="C177" s="87" t="str">
        <f t="shared" si="77"/>
        <v>Commercial - Lighting</v>
      </c>
      <c r="E177" s="106"/>
      <c r="F177" s="106"/>
      <c r="I177" s="155"/>
      <c r="J177" s="157">
        <f t="shared" si="78"/>
        <v>0</v>
      </c>
      <c r="K177" s="157">
        <f t="shared" si="78"/>
        <v>0</v>
      </c>
      <c r="L177" s="157">
        <f t="shared" si="78"/>
        <v>0</v>
      </c>
      <c r="M177" s="157">
        <f t="shared" si="78"/>
        <v>0</v>
      </c>
      <c r="N177" s="157">
        <f t="shared" si="78"/>
        <v>0</v>
      </c>
      <c r="O177" s="157">
        <f t="shared" si="78"/>
        <v>0</v>
      </c>
      <c r="P177" s="157">
        <f t="shared" si="78"/>
        <v>0</v>
      </c>
      <c r="Q177" s="157">
        <f t="shared" si="78"/>
        <v>0</v>
      </c>
      <c r="R177" s="157">
        <f t="shared" si="78"/>
        <v>0</v>
      </c>
      <c r="S177" s="157">
        <f t="shared" si="78"/>
        <v>0</v>
      </c>
      <c r="T177" s="157">
        <f t="shared" si="78"/>
        <v>0</v>
      </c>
      <c r="U177" s="157">
        <f t="shared" si="78"/>
        <v>0</v>
      </c>
      <c r="V177" s="157">
        <f t="shared" si="78"/>
        <v>0</v>
      </c>
      <c r="W177" s="157">
        <f t="shared" si="78"/>
        <v>0</v>
      </c>
      <c r="X177" s="157">
        <f t="shared" si="78"/>
        <v>0</v>
      </c>
      <c r="Y177" s="157">
        <f t="shared" si="78"/>
        <v>0</v>
      </c>
      <c r="Z177" s="157">
        <f t="shared" si="79"/>
        <v>0</v>
      </c>
      <c r="AA177" s="157">
        <f t="shared" si="79"/>
        <v>0</v>
      </c>
      <c r="AB177" s="157">
        <f t="shared" si="79"/>
        <v>0</v>
      </c>
      <c r="AC177" s="157">
        <f t="shared" si="79"/>
        <v>0</v>
      </c>
      <c r="AD177" s="157">
        <f t="shared" si="79"/>
        <v>0</v>
      </c>
      <c r="AE177" s="157">
        <f t="shared" si="79"/>
        <v>0</v>
      </c>
      <c r="AF177" s="157">
        <f t="shared" si="79"/>
        <v>0</v>
      </c>
      <c r="AG177" s="157">
        <f t="shared" si="79"/>
        <v>0</v>
      </c>
      <c r="AH177" s="157">
        <f t="shared" si="79"/>
        <v>0</v>
      </c>
      <c r="AI177" s="157">
        <f t="shared" si="79"/>
        <v>0</v>
      </c>
      <c r="AJ177" s="157">
        <f t="shared" si="79"/>
        <v>0</v>
      </c>
      <c r="AK177" s="157">
        <f t="shared" si="79"/>
        <v>0</v>
      </c>
      <c r="AL177" s="157">
        <f t="shared" si="79"/>
        <v>0</v>
      </c>
      <c r="AM177" s="157">
        <f t="shared" si="79"/>
        <v>0</v>
      </c>
      <c r="AN177" s="157">
        <f t="shared" si="80"/>
        <v>0</v>
      </c>
      <c r="AO177" s="157">
        <f t="shared" si="80"/>
        <v>0</v>
      </c>
      <c r="AP177" s="157">
        <f t="shared" si="80"/>
        <v>0</v>
      </c>
      <c r="AQ177" s="157">
        <f t="shared" si="80"/>
        <v>0</v>
      </c>
      <c r="AR177" s="157">
        <f t="shared" si="80"/>
        <v>0</v>
      </c>
      <c r="AS177" s="157">
        <f t="shared" si="80"/>
        <v>0</v>
      </c>
      <c r="AT177" s="157">
        <f t="shared" si="80"/>
        <v>0</v>
      </c>
      <c r="AU177" s="157">
        <f t="shared" si="80"/>
        <v>0</v>
      </c>
      <c r="AV177" s="157">
        <f t="shared" si="80"/>
        <v>0</v>
      </c>
    </row>
    <row r="178" spans="1:48">
      <c r="A178" s="185" t="s">
        <v>16</v>
      </c>
      <c r="B178" s="87" t="str">
        <f t="shared" si="76"/>
        <v>CNR</v>
      </c>
      <c r="C178" s="87" t="str">
        <f t="shared" si="77"/>
        <v>Commercial - Refrigeration</v>
      </c>
      <c r="E178" s="106"/>
      <c r="F178" s="106"/>
      <c r="I178" s="155"/>
      <c r="J178" s="157">
        <f t="shared" si="78"/>
        <v>0</v>
      </c>
      <c r="K178" s="157">
        <f t="shared" si="78"/>
        <v>0</v>
      </c>
      <c r="L178" s="157">
        <f t="shared" si="78"/>
        <v>0</v>
      </c>
      <c r="M178" s="157">
        <f t="shared" si="78"/>
        <v>0</v>
      </c>
      <c r="N178" s="157">
        <f t="shared" si="78"/>
        <v>0</v>
      </c>
      <c r="O178" s="157">
        <f t="shared" si="78"/>
        <v>0</v>
      </c>
      <c r="P178" s="157">
        <f t="shared" si="78"/>
        <v>0</v>
      </c>
      <c r="Q178" s="157">
        <f t="shared" si="78"/>
        <v>0</v>
      </c>
      <c r="R178" s="157">
        <f t="shared" si="78"/>
        <v>0</v>
      </c>
      <c r="S178" s="157">
        <f t="shared" si="78"/>
        <v>0</v>
      </c>
      <c r="T178" s="157">
        <f t="shared" si="78"/>
        <v>0</v>
      </c>
      <c r="U178" s="157">
        <f t="shared" si="78"/>
        <v>0</v>
      </c>
      <c r="V178" s="157">
        <f t="shared" si="78"/>
        <v>0</v>
      </c>
      <c r="W178" s="157">
        <f t="shared" si="78"/>
        <v>0</v>
      </c>
      <c r="X178" s="157">
        <f t="shared" si="78"/>
        <v>0</v>
      </c>
      <c r="Y178" s="157">
        <f t="shared" si="78"/>
        <v>0</v>
      </c>
      <c r="Z178" s="157">
        <f t="shared" si="79"/>
        <v>0</v>
      </c>
      <c r="AA178" s="157">
        <f t="shared" si="79"/>
        <v>0</v>
      </c>
      <c r="AB178" s="157">
        <f t="shared" si="79"/>
        <v>0</v>
      </c>
      <c r="AC178" s="157">
        <f t="shared" si="79"/>
        <v>0</v>
      </c>
      <c r="AD178" s="157">
        <f t="shared" si="79"/>
        <v>0</v>
      </c>
      <c r="AE178" s="157">
        <f t="shared" si="79"/>
        <v>0</v>
      </c>
      <c r="AF178" s="157">
        <f t="shared" si="79"/>
        <v>0</v>
      </c>
      <c r="AG178" s="157">
        <f t="shared" si="79"/>
        <v>0</v>
      </c>
      <c r="AH178" s="157">
        <f t="shared" si="79"/>
        <v>0</v>
      </c>
      <c r="AI178" s="157">
        <f t="shared" si="79"/>
        <v>0</v>
      </c>
      <c r="AJ178" s="157">
        <f t="shared" si="79"/>
        <v>0</v>
      </c>
      <c r="AK178" s="157">
        <f t="shared" si="79"/>
        <v>0</v>
      </c>
      <c r="AL178" s="157">
        <f t="shared" si="79"/>
        <v>0</v>
      </c>
      <c r="AM178" s="157">
        <f t="shared" si="79"/>
        <v>0</v>
      </c>
      <c r="AN178" s="157">
        <f t="shared" si="80"/>
        <v>0</v>
      </c>
      <c r="AO178" s="157">
        <f t="shared" si="80"/>
        <v>0</v>
      </c>
      <c r="AP178" s="157">
        <f t="shared" si="80"/>
        <v>0</v>
      </c>
      <c r="AQ178" s="157">
        <f t="shared" si="80"/>
        <v>0</v>
      </c>
      <c r="AR178" s="157">
        <f t="shared" si="80"/>
        <v>0</v>
      </c>
      <c r="AS178" s="157">
        <f t="shared" si="80"/>
        <v>0</v>
      </c>
      <c r="AT178" s="157">
        <f t="shared" si="80"/>
        <v>0</v>
      </c>
      <c r="AU178" s="157">
        <f t="shared" si="80"/>
        <v>0</v>
      </c>
      <c r="AV178" s="157">
        <f t="shared" si="80"/>
        <v>0</v>
      </c>
    </row>
    <row r="179" spans="1:48">
      <c r="A179" s="185" t="s">
        <v>16</v>
      </c>
      <c r="B179" s="87" t="str">
        <f t="shared" si="76"/>
        <v>CNW</v>
      </c>
      <c r="C179" s="87" t="str">
        <f t="shared" si="77"/>
        <v>Commercial - Water Heating</v>
      </c>
      <c r="E179" s="106"/>
      <c r="F179" s="106"/>
      <c r="I179" s="155"/>
      <c r="J179" s="157">
        <f t="shared" si="78"/>
        <v>0</v>
      </c>
      <c r="K179" s="157">
        <f t="shared" si="78"/>
        <v>0</v>
      </c>
      <c r="L179" s="157">
        <f t="shared" si="78"/>
        <v>0</v>
      </c>
      <c r="M179" s="157">
        <f t="shared" si="78"/>
        <v>0</v>
      </c>
      <c r="N179" s="157">
        <f t="shared" si="78"/>
        <v>0</v>
      </c>
      <c r="O179" s="157">
        <f t="shared" si="78"/>
        <v>0</v>
      </c>
      <c r="P179" s="157">
        <f t="shared" si="78"/>
        <v>0</v>
      </c>
      <c r="Q179" s="157">
        <f t="shared" si="78"/>
        <v>0</v>
      </c>
      <c r="R179" s="157">
        <f t="shared" si="78"/>
        <v>0</v>
      </c>
      <c r="S179" s="157">
        <f t="shared" si="78"/>
        <v>0</v>
      </c>
      <c r="T179" s="157">
        <f t="shared" si="78"/>
        <v>0</v>
      </c>
      <c r="U179" s="157">
        <f t="shared" si="78"/>
        <v>0</v>
      </c>
      <c r="V179" s="157">
        <f t="shared" si="78"/>
        <v>0</v>
      </c>
      <c r="W179" s="157">
        <f t="shared" si="78"/>
        <v>0</v>
      </c>
      <c r="X179" s="157">
        <f t="shared" si="78"/>
        <v>0</v>
      </c>
      <c r="Y179" s="157">
        <f t="shared" si="78"/>
        <v>0</v>
      </c>
      <c r="Z179" s="157">
        <f t="shared" si="79"/>
        <v>0</v>
      </c>
      <c r="AA179" s="157">
        <f t="shared" si="79"/>
        <v>0</v>
      </c>
      <c r="AB179" s="157">
        <f t="shared" si="79"/>
        <v>0</v>
      </c>
      <c r="AC179" s="157">
        <f t="shared" si="79"/>
        <v>0</v>
      </c>
      <c r="AD179" s="157">
        <f t="shared" si="79"/>
        <v>0</v>
      </c>
      <c r="AE179" s="157">
        <f t="shared" si="79"/>
        <v>0</v>
      </c>
      <c r="AF179" s="157">
        <f t="shared" si="79"/>
        <v>0</v>
      </c>
      <c r="AG179" s="157">
        <f t="shared" si="79"/>
        <v>0</v>
      </c>
      <c r="AH179" s="157">
        <f t="shared" si="79"/>
        <v>0</v>
      </c>
      <c r="AI179" s="157">
        <f t="shared" si="79"/>
        <v>0</v>
      </c>
      <c r="AJ179" s="157">
        <f t="shared" si="79"/>
        <v>0</v>
      </c>
      <c r="AK179" s="157">
        <f t="shared" si="79"/>
        <v>0</v>
      </c>
      <c r="AL179" s="157">
        <f t="shared" si="79"/>
        <v>0</v>
      </c>
      <c r="AM179" s="157">
        <f t="shared" si="79"/>
        <v>0</v>
      </c>
      <c r="AN179" s="157">
        <f t="shared" si="80"/>
        <v>0</v>
      </c>
      <c r="AO179" s="157">
        <f t="shared" si="80"/>
        <v>0</v>
      </c>
      <c r="AP179" s="157">
        <f t="shared" si="80"/>
        <v>0</v>
      </c>
      <c r="AQ179" s="157">
        <f t="shared" si="80"/>
        <v>0</v>
      </c>
      <c r="AR179" s="157">
        <f t="shared" si="80"/>
        <v>0</v>
      </c>
      <c r="AS179" s="157">
        <f t="shared" si="80"/>
        <v>0</v>
      </c>
      <c r="AT179" s="157">
        <f t="shared" si="80"/>
        <v>0</v>
      </c>
      <c r="AU179" s="157">
        <f t="shared" si="80"/>
        <v>0</v>
      </c>
      <c r="AV179" s="157">
        <f t="shared" si="80"/>
        <v>0</v>
      </c>
    </row>
    <row r="180" spans="1:48">
      <c r="A180" s="185" t="s">
        <v>16</v>
      </c>
      <c r="B180" s="87" t="str">
        <f t="shared" si="76"/>
        <v>CNG</v>
      </c>
      <c r="C180" s="87" t="str">
        <f t="shared" si="77"/>
        <v>Commercial - Public lights</v>
      </c>
      <c r="E180" s="106"/>
      <c r="F180" s="106"/>
      <c r="I180" s="155"/>
      <c r="J180" s="157">
        <f t="shared" si="78"/>
        <v>0</v>
      </c>
      <c r="K180" s="157">
        <f t="shared" si="78"/>
        <v>0</v>
      </c>
      <c r="L180" s="157">
        <f t="shared" si="78"/>
        <v>0</v>
      </c>
      <c r="M180" s="157">
        <f t="shared" si="78"/>
        <v>0</v>
      </c>
      <c r="N180" s="157">
        <f t="shared" si="78"/>
        <v>0</v>
      </c>
      <c r="O180" s="157">
        <f t="shared" si="78"/>
        <v>0</v>
      </c>
      <c r="P180" s="157">
        <f t="shared" si="78"/>
        <v>0</v>
      </c>
      <c r="Q180" s="157">
        <f t="shared" si="78"/>
        <v>0</v>
      </c>
      <c r="R180" s="157">
        <f t="shared" si="78"/>
        <v>0</v>
      </c>
      <c r="S180" s="157">
        <f t="shared" si="78"/>
        <v>0</v>
      </c>
      <c r="T180" s="157">
        <f t="shared" si="78"/>
        <v>0</v>
      </c>
      <c r="U180" s="157">
        <f t="shared" si="78"/>
        <v>0</v>
      </c>
      <c r="V180" s="157">
        <f t="shared" si="78"/>
        <v>0</v>
      </c>
      <c r="W180" s="157">
        <f t="shared" si="78"/>
        <v>0</v>
      </c>
      <c r="X180" s="157">
        <f t="shared" si="78"/>
        <v>0</v>
      </c>
      <c r="Y180" s="157">
        <f t="shared" si="78"/>
        <v>0</v>
      </c>
      <c r="Z180" s="157">
        <f t="shared" si="79"/>
        <v>0</v>
      </c>
      <c r="AA180" s="157">
        <f t="shared" si="79"/>
        <v>0</v>
      </c>
      <c r="AB180" s="157">
        <f t="shared" si="79"/>
        <v>0</v>
      </c>
      <c r="AC180" s="157">
        <f t="shared" si="79"/>
        <v>0</v>
      </c>
      <c r="AD180" s="157">
        <f t="shared" si="79"/>
        <v>0</v>
      </c>
      <c r="AE180" s="157">
        <f t="shared" si="79"/>
        <v>0</v>
      </c>
      <c r="AF180" s="157">
        <f t="shared" si="79"/>
        <v>0</v>
      </c>
      <c r="AG180" s="157">
        <f t="shared" si="79"/>
        <v>0</v>
      </c>
      <c r="AH180" s="157">
        <f t="shared" si="79"/>
        <v>0</v>
      </c>
      <c r="AI180" s="157">
        <f t="shared" si="79"/>
        <v>0</v>
      </c>
      <c r="AJ180" s="157">
        <f t="shared" si="79"/>
        <v>0</v>
      </c>
      <c r="AK180" s="157">
        <f t="shared" si="79"/>
        <v>0</v>
      </c>
      <c r="AL180" s="157">
        <f t="shared" si="79"/>
        <v>0</v>
      </c>
      <c r="AM180" s="157">
        <f t="shared" si="79"/>
        <v>0</v>
      </c>
      <c r="AN180" s="157">
        <f t="shared" si="80"/>
        <v>0</v>
      </c>
      <c r="AO180" s="157">
        <f t="shared" si="80"/>
        <v>0</v>
      </c>
      <c r="AP180" s="157">
        <f t="shared" si="80"/>
        <v>0</v>
      </c>
      <c r="AQ180" s="157">
        <f t="shared" si="80"/>
        <v>0</v>
      </c>
      <c r="AR180" s="157">
        <f t="shared" si="80"/>
        <v>0</v>
      </c>
      <c r="AS180" s="157">
        <f t="shared" si="80"/>
        <v>0</v>
      </c>
      <c r="AT180" s="157">
        <f t="shared" si="80"/>
        <v>0</v>
      </c>
      <c r="AU180" s="157">
        <f t="shared" si="80"/>
        <v>0</v>
      </c>
      <c r="AV180" s="157">
        <f t="shared" si="80"/>
        <v>0</v>
      </c>
    </row>
    <row r="181" spans="1:48">
      <c r="A181" s="185" t="s">
        <v>16</v>
      </c>
      <c r="B181" s="87" t="str">
        <f t="shared" si="76"/>
        <v>CNT</v>
      </c>
      <c r="C181" s="87" t="str">
        <f t="shared" si="77"/>
        <v>Commercial - Public Water</v>
      </c>
      <c r="E181" s="106"/>
      <c r="F181" s="106"/>
      <c r="I181" s="155"/>
      <c r="J181" s="157">
        <f t="shared" si="78"/>
        <v>0</v>
      </c>
      <c r="K181" s="157">
        <f t="shared" si="78"/>
        <v>0</v>
      </c>
      <c r="L181" s="157">
        <f t="shared" si="78"/>
        <v>0</v>
      </c>
      <c r="M181" s="157">
        <f t="shared" si="78"/>
        <v>0</v>
      </c>
      <c r="N181" s="157">
        <f t="shared" si="78"/>
        <v>0</v>
      </c>
      <c r="O181" s="157">
        <f t="shared" si="78"/>
        <v>0</v>
      </c>
      <c r="P181" s="157">
        <f t="shared" si="78"/>
        <v>0</v>
      </c>
      <c r="Q181" s="157">
        <f t="shared" si="78"/>
        <v>0</v>
      </c>
      <c r="R181" s="157">
        <f t="shared" si="78"/>
        <v>0</v>
      </c>
      <c r="S181" s="157">
        <f t="shared" si="78"/>
        <v>0</v>
      </c>
      <c r="T181" s="157">
        <f t="shared" si="78"/>
        <v>0</v>
      </c>
      <c r="U181" s="157">
        <f t="shared" si="78"/>
        <v>0</v>
      </c>
      <c r="V181" s="157">
        <f t="shared" si="78"/>
        <v>0</v>
      </c>
      <c r="W181" s="157">
        <f t="shared" si="78"/>
        <v>0</v>
      </c>
      <c r="X181" s="157">
        <f t="shared" si="78"/>
        <v>0</v>
      </c>
      <c r="Y181" s="157">
        <f t="shared" si="78"/>
        <v>0</v>
      </c>
      <c r="Z181" s="157">
        <f t="shared" si="79"/>
        <v>0</v>
      </c>
      <c r="AA181" s="157">
        <f t="shared" si="79"/>
        <v>0</v>
      </c>
      <c r="AB181" s="157">
        <f t="shared" si="79"/>
        <v>0</v>
      </c>
      <c r="AC181" s="157">
        <f t="shared" si="79"/>
        <v>0</v>
      </c>
      <c r="AD181" s="157">
        <f t="shared" si="79"/>
        <v>0</v>
      </c>
      <c r="AE181" s="157">
        <f t="shared" si="79"/>
        <v>0</v>
      </c>
      <c r="AF181" s="157">
        <f t="shared" si="79"/>
        <v>0</v>
      </c>
      <c r="AG181" s="157">
        <f t="shared" si="79"/>
        <v>0</v>
      </c>
      <c r="AH181" s="157">
        <f t="shared" si="79"/>
        <v>0</v>
      </c>
      <c r="AI181" s="157">
        <f t="shared" si="79"/>
        <v>0</v>
      </c>
      <c r="AJ181" s="157">
        <f t="shared" si="79"/>
        <v>0</v>
      </c>
      <c r="AK181" s="157">
        <f t="shared" si="79"/>
        <v>0</v>
      </c>
      <c r="AL181" s="157">
        <f t="shared" si="79"/>
        <v>0</v>
      </c>
      <c r="AM181" s="157">
        <f t="shared" si="79"/>
        <v>0</v>
      </c>
      <c r="AN181" s="157">
        <f t="shared" si="80"/>
        <v>0</v>
      </c>
      <c r="AO181" s="157">
        <f t="shared" si="80"/>
        <v>0</v>
      </c>
      <c r="AP181" s="157">
        <f t="shared" si="80"/>
        <v>0</v>
      </c>
      <c r="AQ181" s="157">
        <f t="shared" si="80"/>
        <v>0</v>
      </c>
      <c r="AR181" s="157">
        <f t="shared" si="80"/>
        <v>0</v>
      </c>
      <c r="AS181" s="157">
        <f t="shared" si="80"/>
        <v>0</v>
      </c>
      <c r="AT181" s="157">
        <f t="shared" si="80"/>
        <v>0</v>
      </c>
      <c r="AU181" s="157">
        <f t="shared" si="80"/>
        <v>0</v>
      </c>
      <c r="AV181" s="157">
        <f t="shared" si="80"/>
        <v>0</v>
      </c>
    </row>
    <row r="182" spans="1:48">
      <c r="A182" s="185" t="s">
        <v>16</v>
      </c>
      <c r="B182" s="87" t="str">
        <f t="shared" si="76"/>
        <v>CNO</v>
      </c>
      <c r="C182" s="87" t="str">
        <f t="shared" si="77"/>
        <v>Commercial - Other</v>
      </c>
      <c r="E182" s="106"/>
      <c r="F182" s="106"/>
      <c r="I182" s="155"/>
      <c r="J182" s="157">
        <f t="shared" si="78"/>
        <v>0</v>
      </c>
      <c r="K182" s="157">
        <f t="shared" si="78"/>
        <v>0</v>
      </c>
      <c r="L182" s="157">
        <f t="shared" si="78"/>
        <v>0</v>
      </c>
      <c r="M182" s="157">
        <f t="shared" si="78"/>
        <v>0</v>
      </c>
      <c r="N182" s="157">
        <f t="shared" si="78"/>
        <v>0</v>
      </c>
      <c r="O182" s="157">
        <f t="shared" si="78"/>
        <v>0</v>
      </c>
      <c r="P182" s="157">
        <f t="shared" si="78"/>
        <v>0</v>
      </c>
      <c r="Q182" s="157">
        <f t="shared" si="78"/>
        <v>0</v>
      </c>
      <c r="R182" s="157">
        <f t="shared" si="78"/>
        <v>0</v>
      </c>
      <c r="S182" s="157">
        <f t="shared" si="78"/>
        <v>0</v>
      </c>
      <c r="T182" s="157">
        <f t="shared" si="78"/>
        <v>0</v>
      </c>
      <c r="U182" s="157">
        <f t="shared" si="78"/>
        <v>0</v>
      </c>
      <c r="V182" s="157">
        <f t="shared" si="78"/>
        <v>0</v>
      </c>
      <c r="W182" s="157">
        <f t="shared" si="78"/>
        <v>0</v>
      </c>
      <c r="X182" s="157">
        <f t="shared" si="78"/>
        <v>0</v>
      </c>
      <c r="Y182" s="157">
        <f t="shared" si="78"/>
        <v>0</v>
      </c>
      <c r="Z182" s="157">
        <f t="shared" si="79"/>
        <v>0</v>
      </c>
      <c r="AA182" s="157">
        <f t="shared" si="79"/>
        <v>0</v>
      </c>
      <c r="AB182" s="157">
        <f t="shared" si="79"/>
        <v>0</v>
      </c>
      <c r="AC182" s="157">
        <f t="shared" si="79"/>
        <v>0</v>
      </c>
      <c r="AD182" s="157">
        <f t="shared" si="79"/>
        <v>0</v>
      </c>
      <c r="AE182" s="157">
        <f t="shared" si="79"/>
        <v>0</v>
      </c>
      <c r="AF182" s="157">
        <f t="shared" si="79"/>
        <v>0</v>
      </c>
      <c r="AG182" s="157">
        <f t="shared" si="79"/>
        <v>0</v>
      </c>
      <c r="AH182" s="157">
        <f t="shared" si="79"/>
        <v>0</v>
      </c>
      <c r="AI182" s="157">
        <f t="shared" si="79"/>
        <v>0</v>
      </c>
      <c r="AJ182" s="157">
        <f t="shared" si="79"/>
        <v>0</v>
      </c>
      <c r="AK182" s="157">
        <f t="shared" si="79"/>
        <v>0</v>
      </c>
      <c r="AL182" s="157">
        <f t="shared" si="79"/>
        <v>0</v>
      </c>
      <c r="AM182" s="157">
        <f t="shared" si="79"/>
        <v>0</v>
      </c>
      <c r="AN182" s="157">
        <f t="shared" si="80"/>
        <v>0</v>
      </c>
      <c r="AO182" s="157">
        <f t="shared" si="80"/>
        <v>0</v>
      </c>
      <c r="AP182" s="157">
        <f t="shared" si="80"/>
        <v>0</v>
      </c>
      <c r="AQ182" s="157">
        <f t="shared" si="80"/>
        <v>0</v>
      </c>
      <c r="AR182" s="157">
        <f t="shared" si="80"/>
        <v>0</v>
      </c>
      <c r="AS182" s="157">
        <f t="shared" si="80"/>
        <v>0</v>
      </c>
      <c r="AT182" s="157">
        <f t="shared" si="80"/>
        <v>0</v>
      </c>
      <c r="AU182" s="157">
        <f t="shared" si="80"/>
        <v>0</v>
      </c>
      <c r="AV182" s="157">
        <f t="shared" si="80"/>
        <v>0</v>
      </c>
    </row>
    <row r="183" spans="1:48">
      <c r="A183" s="185" t="s">
        <v>16</v>
      </c>
      <c r="E183" s="106"/>
      <c r="F183" s="106"/>
      <c r="I183" s="155"/>
      <c r="J183" s="157"/>
      <c r="K183" s="157"/>
      <c r="L183" s="157"/>
      <c r="M183" s="157"/>
      <c r="N183" s="157"/>
      <c r="O183" s="157"/>
      <c r="P183" s="157"/>
      <c r="Q183" s="157"/>
      <c r="R183" s="157"/>
      <c r="S183" s="157"/>
      <c r="T183" s="157"/>
      <c r="U183" s="157"/>
      <c r="V183" s="157"/>
      <c r="W183" s="157"/>
      <c r="X183" s="157"/>
      <c r="Y183" s="157"/>
      <c r="Z183" s="157"/>
      <c r="AA183" s="157"/>
      <c r="AB183" s="157"/>
      <c r="AC183" s="157"/>
      <c r="AD183" s="157"/>
      <c r="AE183" s="157"/>
      <c r="AF183" s="157"/>
      <c r="AG183" s="157"/>
      <c r="AH183" s="157"/>
      <c r="AI183" s="157"/>
      <c r="AJ183" s="157"/>
      <c r="AK183" s="157"/>
      <c r="AL183" s="157"/>
      <c r="AM183" s="157"/>
      <c r="AN183" s="157"/>
      <c r="AO183" s="157"/>
      <c r="AP183" s="157"/>
      <c r="AQ183" s="157"/>
      <c r="AR183" s="157"/>
      <c r="AS183" s="157"/>
      <c r="AT183" s="157"/>
      <c r="AU183" s="157"/>
      <c r="AV183" s="157"/>
    </row>
    <row r="184" spans="1:48">
      <c r="A184" s="185" t="s">
        <v>16</v>
      </c>
      <c r="E184" s="106"/>
      <c r="F184" s="106"/>
      <c r="I184" s="155"/>
      <c r="J184" s="157"/>
      <c r="K184" s="157"/>
      <c r="L184" s="157"/>
      <c r="M184" s="157"/>
      <c r="N184" s="157"/>
      <c r="O184" s="157"/>
      <c r="P184" s="157"/>
      <c r="Q184" s="157"/>
      <c r="R184" s="157"/>
      <c r="S184" s="157"/>
      <c r="T184" s="157"/>
      <c r="U184" s="157"/>
      <c r="V184" s="157"/>
      <c r="W184" s="157"/>
      <c r="X184" s="157"/>
      <c r="Y184" s="157"/>
      <c r="Z184" s="157"/>
      <c r="AA184" s="157"/>
      <c r="AB184" s="157"/>
      <c r="AC184" s="157"/>
      <c r="AD184" s="157"/>
      <c r="AE184" s="157"/>
      <c r="AF184" s="157"/>
      <c r="AG184" s="157"/>
      <c r="AH184" s="157"/>
      <c r="AI184" s="157"/>
      <c r="AJ184" s="157"/>
      <c r="AK184" s="157"/>
      <c r="AL184" s="157"/>
      <c r="AM184" s="157"/>
      <c r="AN184" s="157"/>
      <c r="AO184" s="157"/>
      <c r="AP184" s="157"/>
      <c r="AQ184" s="157"/>
      <c r="AR184" s="157"/>
      <c r="AS184" s="157"/>
      <c r="AT184" s="157"/>
      <c r="AU184" s="157"/>
      <c r="AV184" s="157"/>
    </row>
    <row r="185" spans="1:48" ht="15.75" thickBot="1">
      <c r="A185" s="185" t="s">
        <v>16</v>
      </c>
      <c r="B185" s="85" t="s">
        <v>484</v>
      </c>
      <c r="C185" s="85"/>
      <c r="D185" s="85"/>
      <c r="E185" s="85"/>
      <c r="F185" s="85"/>
      <c r="G185" s="85"/>
      <c r="H185" s="85"/>
      <c r="I185" s="155" t="s">
        <v>231</v>
      </c>
      <c r="J185" s="157"/>
      <c r="K185" s="157"/>
      <c r="L185" s="157"/>
      <c r="M185" s="157"/>
      <c r="N185" s="157"/>
      <c r="O185" s="157"/>
      <c r="P185" s="157"/>
      <c r="Q185" s="157"/>
      <c r="R185" s="157"/>
      <c r="S185" s="157"/>
      <c r="T185" s="157"/>
      <c r="U185" s="157"/>
      <c r="V185" s="157"/>
      <c r="W185" s="157"/>
      <c r="X185" s="157"/>
      <c r="Y185" s="157"/>
      <c r="Z185" s="157"/>
      <c r="AA185" s="157"/>
      <c r="AB185" s="157"/>
      <c r="AC185" s="157"/>
      <c r="AD185" s="157"/>
      <c r="AE185" s="157"/>
      <c r="AF185" s="157"/>
      <c r="AG185" s="157"/>
      <c r="AH185" s="157"/>
      <c r="AI185" s="157"/>
      <c r="AJ185" s="157"/>
      <c r="AK185" s="157"/>
      <c r="AL185" s="157"/>
      <c r="AM185" s="157"/>
      <c r="AN185" s="157"/>
      <c r="AO185" s="157"/>
      <c r="AP185" s="157"/>
      <c r="AQ185" s="157"/>
      <c r="AR185" s="157"/>
      <c r="AS185" s="157"/>
      <c r="AT185" s="157"/>
      <c r="AU185" s="157"/>
      <c r="AV185" s="157"/>
    </row>
    <row r="186" spans="1:48">
      <c r="A186" s="185" t="s">
        <v>16</v>
      </c>
      <c r="B186" s="87" t="str">
        <f t="shared" ref="B186:C194" si="81">B174</f>
        <v>CNC</v>
      </c>
      <c r="C186" s="87" t="str">
        <f t="shared" si="81"/>
        <v>Commercial - Cooling</v>
      </c>
      <c r="E186" s="106"/>
      <c r="F186" s="106"/>
      <c r="I186" s="155"/>
      <c r="J186" s="157">
        <f t="shared" ref="J186:Y194" si="82">INDEX(J$49:J$52,MATCH($I$185,$B$49:$B$52,0),1)*INDEX(J$81:J$89,MATCH($B186,$B$81:$B$89,0))*INDEX(J$116:J$124,MATCH($B186,$B$116:$B$124,0))/1000</f>
        <v>0</v>
      </c>
      <c r="K186" s="157">
        <f t="shared" si="82"/>
        <v>0</v>
      </c>
      <c r="L186" s="157">
        <f t="shared" si="82"/>
        <v>0</v>
      </c>
      <c r="M186" s="157">
        <f t="shared" si="82"/>
        <v>0</v>
      </c>
      <c r="N186" s="157">
        <f t="shared" si="82"/>
        <v>0</v>
      </c>
      <c r="O186" s="157">
        <f t="shared" si="82"/>
        <v>0</v>
      </c>
      <c r="P186" s="157">
        <f>INDEX(P$49:P$52,MATCH($I$185,$B$49:$B$52,0),1)*INDEX(P$81:P$89,MATCH($B186,$B$81:$B$89,0))*INDEX(P$116:P$124,MATCH($B186,$B$116:$B$124,0))/1000</f>
        <v>1.5826011087333609</v>
      </c>
      <c r="Q186" s="157">
        <f t="shared" si="82"/>
        <v>3.2727888378763019</v>
      </c>
      <c r="R186" s="157">
        <f t="shared" si="82"/>
        <v>4.2350555604682834</v>
      </c>
      <c r="S186" s="157">
        <f t="shared" si="82"/>
        <v>6.2039116504232403</v>
      </c>
      <c r="T186" s="157">
        <f t="shared" si="82"/>
        <v>8.1477592630354909</v>
      </c>
      <c r="U186" s="157">
        <f t="shared" si="82"/>
        <v>10.076074458524694</v>
      </c>
      <c r="V186" s="157">
        <f>INDEX(V$49:V$52,MATCH($I$185,$B$49:$B$52,0),1)*INDEX(V$81:V$89,MATCH($B186,$B$81:$B$89,0))*INDEX(V$116:V$124,MATCH($B186,$B$116:$B$124,0))/1000</f>
        <v>11.974810016910205</v>
      </c>
      <c r="W186" s="157">
        <f t="shared" si="82"/>
        <v>13.899367079787028</v>
      </c>
      <c r="X186" s="157">
        <f t="shared" si="82"/>
        <v>15.97889515698475</v>
      </c>
      <c r="Y186" s="157">
        <f t="shared" si="82"/>
        <v>18.03362410843485</v>
      </c>
      <c r="Z186" s="157">
        <f t="shared" ref="Z186:AO194" si="83">INDEX(Z$49:Z$52,MATCH($I$185,$B$49:$B$52,0),1)*INDEX(Z$81:Z$89,MATCH($B186,$B$81:$B$89,0))*INDEX(Z$116:Z$124,MATCH($B186,$B$116:$B$124,0))/1000</f>
        <v>20.125330003602787</v>
      </c>
      <c r="AA186" s="157">
        <f t="shared" si="83"/>
        <v>22.240274327759533</v>
      </c>
      <c r="AB186" s="157">
        <f t="shared" si="83"/>
        <v>24.375278393979318</v>
      </c>
      <c r="AC186" s="157">
        <f t="shared" si="83"/>
        <v>24.375278393979318</v>
      </c>
      <c r="AD186" s="157">
        <f t="shared" si="83"/>
        <v>24.375278393979318</v>
      </c>
      <c r="AE186" s="157">
        <f t="shared" si="83"/>
        <v>24.375278393979318</v>
      </c>
      <c r="AF186" s="157">
        <f t="shared" si="83"/>
        <v>24.375278393979318</v>
      </c>
      <c r="AG186" s="157">
        <f t="shared" si="83"/>
        <v>24.375278393979318</v>
      </c>
      <c r="AH186" s="157">
        <f t="shared" si="83"/>
        <v>24.375278393979318</v>
      </c>
      <c r="AI186" s="157">
        <f t="shared" si="83"/>
        <v>24.375278393979318</v>
      </c>
      <c r="AJ186" s="157">
        <f t="shared" si="83"/>
        <v>24.375278393979318</v>
      </c>
      <c r="AK186" s="157">
        <f t="shared" si="83"/>
        <v>24.375278393979318</v>
      </c>
      <c r="AL186" s="157">
        <f t="shared" si="83"/>
        <v>24.375278393979318</v>
      </c>
      <c r="AM186" s="157">
        <f t="shared" si="83"/>
        <v>24.375278393979318</v>
      </c>
      <c r="AN186" s="157">
        <f t="shared" si="83"/>
        <v>24.375278393979318</v>
      </c>
      <c r="AO186" s="157">
        <f t="shared" si="83"/>
        <v>24.375278393979318</v>
      </c>
      <c r="AP186" s="157">
        <f t="shared" ref="AN186:AV194" si="84">INDEX(AP$49:AP$52,MATCH($I$185,$B$49:$B$52,0),1)*INDEX(AP$81:AP$89,MATCH($B186,$B$81:$B$89,0))*INDEX(AP$116:AP$124,MATCH($B186,$B$116:$B$124,0))/1000</f>
        <v>24.375278393979318</v>
      </c>
      <c r="AQ186" s="157">
        <f t="shared" si="84"/>
        <v>24.375278393979318</v>
      </c>
      <c r="AR186" s="157">
        <f t="shared" si="84"/>
        <v>24.375278393979318</v>
      </c>
      <c r="AS186" s="157">
        <f t="shared" si="84"/>
        <v>24.375278393979318</v>
      </c>
      <c r="AT186" s="157">
        <f t="shared" si="84"/>
        <v>24.375278393979318</v>
      </c>
      <c r="AU186" s="157">
        <f t="shared" si="84"/>
        <v>24.375278393979318</v>
      </c>
      <c r="AV186" s="157">
        <f t="shared" si="84"/>
        <v>24.375278393979318</v>
      </c>
    </row>
    <row r="187" spans="1:48">
      <c r="A187" s="185" t="s">
        <v>16</v>
      </c>
      <c r="B187" s="87" t="str">
        <f t="shared" si="81"/>
        <v>CNH</v>
      </c>
      <c r="C187" s="87" t="str">
        <f t="shared" si="81"/>
        <v>Commercial - Space Heating</v>
      </c>
      <c r="E187" s="106"/>
      <c r="F187" s="106"/>
      <c r="I187" s="155"/>
      <c r="J187" s="157">
        <f t="shared" si="82"/>
        <v>0</v>
      </c>
      <c r="K187" s="157">
        <f t="shared" si="82"/>
        <v>0</v>
      </c>
      <c r="L187" s="157">
        <f t="shared" si="82"/>
        <v>0</v>
      </c>
      <c r="M187" s="157">
        <f t="shared" si="82"/>
        <v>0</v>
      </c>
      <c r="N187" s="157">
        <f t="shared" si="82"/>
        <v>0</v>
      </c>
      <c r="O187" s="157">
        <f t="shared" si="82"/>
        <v>0</v>
      </c>
      <c r="P187" s="157">
        <f t="shared" si="82"/>
        <v>0.15092687254753431</v>
      </c>
      <c r="Q187" s="157">
        <f t="shared" si="82"/>
        <v>0.31211388712123755</v>
      </c>
      <c r="R187" s="157">
        <f t="shared" si="82"/>
        <v>0.40388174081218448</v>
      </c>
      <c r="S187" s="157">
        <f t="shared" si="82"/>
        <v>0.59164433652456594</v>
      </c>
      <c r="T187" s="157">
        <f t="shared" si="82"/>
        <v>0.77702196532918899</v>
      </c>
      <c r="U187" s="157">
        <f t="shared" si="82"/>
        <v>0.96091832438962399</v>
      </c>
      <c r="V187" s="157">
        <f t="shared" si="82"/>
        <v>1.1419937817746368</v>
      </c>
      <c r="W187" s="157">
        <f t="shared" si="82"/>
        <v>1.3255317414894152</v>
      </c>
      <c r="X187" s="157">
        <f t="shared" si="82"/>
        <v>1.5238487193648038</v>
      </c>
      <c r="Y187" s="157">
        <f t="shared" si="82"/>
        <v>1.719800695427451</v>
      </c>
      <c r="Z187" s="157">
        <f t="shared" si="83"/>
        <v>1.9192790272097433</v>
      </c>
      <c r="AA187" s="157">
        <f t="shared" si="83"/>
        <v>2.1209735228698725</v>
      </c>
      <c r="AB187" s="157">
        <f t="shared" si="83"/>
        <v>2.3245810426754905</v>
      </c>
      <c r="AC187" s="157">
        <f t="shared" si="83"/>
        <v>2.3245810426754905</v>
      </c>
      <c r="AD187" s="157">
        <f t="shared" si="83"/>
        <v>2.3245810426754905</v>
      </c>
      <c r="AE187" s="157">
        <f t="shared" si="83"/>
        <v>2.3245810426754905</v>
      </c>
      <c r="AF187" s="157">
        <f t="shared" si="83"/>
        <v>2.3245810426754905</v>
      </c>
      <c r="AG187" s="157">
        <f t="shared" si="83"/>
        <v>2.3245810426754905</v>
      </c>
      <c r="AH187" s="157">
        <f t="shared" si="83"/>
        <v>2.3245810426754905</v>
      </c>
      <c r="AI187" s="157">
        <f t="shared" si="83"/>
        <v>2.3245810426754905</v>
      </c>
      <c r="AJ187" s="157">
        <f t="shared" si="83"/>
        <v>2.3245810426754905</v>
      </c>
      <c r="AK187" s="157">
        <f t="shared" si="83"/>
        <v>2.3245810426754905</v>
      </c>
      <c r="AL187" s="157">
        <f t="shared" si="83"/>
        <v>2.3245810426754905</v>
      </c>
      <c r="AM187" s="157">
        <f t="shared" si="83"/>
        <v>2.3245810426754905</v>
      </c>
      <c r="AN187" s="157">
        <f t="shared" si="84"/>
        <v>2.3245810426754905</v>
      </c>
      <c r="AO187" s="157">
        <f t="shared" si="84"/>
        <v>2.3245810426754905</v>
      </c>
      <c r="AP187" s="157">
        <f t="shared" si="84"/>
        <v>2.3245810426754905</v>
      </c>
      <c r="AQ187" s="157">
        <f t="shared" si="84"/>
        <v>2.3245810426754905</v>
      </c>
      <c r="AR187" s="157">
        <f t="shared" si="84"/>
        <v>2.3245810426754905</v>
      </c>
      <c r="AS187" s="157">
        <f t="shared" si="84"/>
        <v>2.3245810426754905</v>
      </c>
      <c r="AT187" s="157">
        <f t="shared" si="84"/>
        <v>2.3245810426754905</v>
      </c>
      <c r="AU187" s="157">
        <f t="shared" si="84"/>
        <v>2.3245810426754905</v>
      </c>
      <c r="AV187" s="157">
        <f t="shared" si="84"/>
        <v>2.3245810426754905</v>
      </c>
    </row>
    <row r="188" spans="1:48">
      <c r="A188" s="185" t="s">
        <v>16</v>
      </c>
      <c r="B188" s="87" t="str">
        <f t="shared" si="81"/>
        <v>CNK</v>
      </c>
      <c r="C188" s="87" t="str">
        <f t="shared" si="81"/>
        <v>Commercial - Cooking</v>
      </c>
      <c r="E188" s="106"/>
      <c r="F188" s="106"/>
      <c r="I188" s="155"/>
      <c r="J188" s="157">
        <f t="shared" si="82"/>
        <v>0</v>
      </c>
      <c r="K188" s="157">
        <f t="shared" si="82"/>
        <v>0</v>
      </c>
      <c r="L188" s="157">
        <f t="shared" si="82"/>
        <v>0</v>
      </c>
      <c r="M188" s="157">
        <f t="shared" si="82"/>
        <v>0</v>
      </c>
      <c r="N188" s="157">
        <f t="shared" si="82"/>
        <v>0</v>
      </c>
      <c r="O188" s="157">
        <f t="shared" si="82"/>
        <v>0</v>
      </c>
      <c r="P188" s="157">
        <f t="shared" si="82"/>
        <v>0.1128855701047503</v>
      </c>
      <c r="Q188" s="157">
        <f t="shared" si="82"/>
        <v>0.23344520091472726</v>
      </c>
      <c r="R188" s="157">
        <f t="shared" si="82"/>
        <v>0.30208285507355981</v>
      </c>
      <c r="S188" s="157">
        <f t="shared" si="82"/>
        <v>0.44251965935878973</v>
      </c>
      <c r="T188" s="157">
        <f t="shared" si="82"/>
        <v>0.58117263055638668</v>
      </c>
      <c r="U188" s="157">
        <f t="shared" si="82"/>
        <v>0.71871768785681511</v>
      </c>
      <c r="V188" s="157">
        <f t="shared" si="82"/>
        <v>0.85415285519222628</v>
      </c>
      <c r="W188" s="157">
        <f t="shared" si="82"/>
        <v>0.99142984813952317</v>
      </c>
      <c r="X188" s="157">
        <f t="shared" si="82"/>
        <v>1.1397607896811868</v>
      </c>
      <c r="Y188" s="157">
        <f t="shared" si="82"/>
        <v>1.2863228310036661</v>
      </c>
      <c r="Z188" s="157">
        <f t="shared" si="83"/>
        <v>1.4355224057824816</v>
      </c>
      <c r="AA188" s="157">
        <f t="shared" si="83"/>
        <v>1.5863795576287365</v>
      </c>
      <c r="AB188" s="157">
        <f t="shared" si="83"/>
        <v>1.7386675535496259</v>
      </c>
      <c r="AC188" s="157">
        <f t="shared" si="83"/>
        <v>1.7386675535496259</v>
      </c>
      <c r="AD188" s="157">
        <f t="shared" si="83"/>
        <v>1.7386675535496259</v>
      </c>
      <c r="AE188" s="157">
        <f t="shared" si="83"/>
        <v>1.7386675535496259</v>
      </c>
      <c r="AF188" s="157">
        <f t="shared" si="83"/>
        <v>1.7386675535496259</v>
      </c>
      <c r="AG188" s="157">
        <f t="shared" si="83"/>
        <v>1.7386675535496259</v>
      </c>
      <c r="AH188" s="157">
        <f t="shared" si="83"/>
        <v>1.7386675535496259</v>
      </c>
      <c r="AI188" s="157">
        <f t="shared" si="83"/>
        <v>1.7386675535496259</v>
      </c>
      <c r="AJ188" s="157">
        <f t="shared" si="83"/>
        <v>1.7386675535496259</v>
      </c>
      <c r="AK188" s="157">
        <f t="shared" si="83"/>
        <v>1.7386675535496259</v>
      </c>
      <c r="AL188" s="157">
        <f t="shared" si="83"/>
        <v>1.7386675535496259</v>
      </c>
      <c r="AM188" s="157">
        <f t="shared" si="83"/>
        <v>1.7386675535496259</v>
      </c>
      <c r="AN188" s="157">
        <f t="shared" si="84"/>
        <v>1.7386675535496259</v>
      </c>
      <c r="AO188" s="157">
        <f t="shared" si="84"/>
        <v>1.7386675535496259</v>
      </c>
      <c r="AP188" s="157">
        <f t="shared" si="84"/>
        <v>1.7386675535496259</v>
      </c>
      <c r="AQ188" s="157">
        <f t="shared" si="84"/>
        <v>1.7386675535496259</v>
      </c>
      <c r="AR188" s="157">
        <f t="shared" si="84"/>
        <v>1.7386675535496259</v>
      </c>
      <c r="AS188" s="157">
        <f t="shared" si="84"/>
        <v>1.7386675535496259</v>
      </c>
      <c r="AT188" s="157">
        <f t="shared" si="84"/>
        <v>1.7386675535496259</v>
      </c>
      <c r="AU188" s="157">
        <f t="shared" si="84"/>
        <v>1.7386675535496259</v>
      </c>
      <c r="AV188" s="157">
        <f t="shared" si="84"/>
        <v>1.7386675535496259</v>
      </c>
    </row>
    <row r="189" spans="1:48">
      <c r="A189" s="185" t="s">
        <v>16</v>
      </c>
      <c r="B189" s="87" t="str">
        <f t="shared" si="81"/>
        <v>CNL</v>
      </c>
      <c r="C189" s="87" t="str">
        <f t="shared" si="81"/>
        <v>Commercial - Lighting</v>
      </c>
      <c r="E189" s="106"/>
      <c r="F189" s="106"/>
      <c r="I189" s="155"/>
      <c r="J189" s="157">
        <f t="shared" si="82"/>
        <v>0</v>
      </c>
      <c r="K189" s="157">
        <f t="shared" si="82"/>
        <v>0</v>
      </c>
      <c r="L189" s="157">
        <f t="shared" si="82"/>
        <v>0</v>
      </c>
      <c r="M189" s="157">
        <f t="shared" si="82"/>
        <v>0</v>
      </c>
      <c r="N189" s="157">
        <f t="shared" si="82"/>
        <v>0</v>
      </c>
      <c r="O189" s="157">
        <f t="shared" si="82"/>
        <v>0</v>
      </c>
      <c r="P189" s="157">
        <f t="shared" si="82"/>
        <v>1.3772283906971867</v>
      </c>
      <c r="Q189" s="157">
        <f t="shared" si="82"/>
        <v>2.848081983139509</v>
      </c>
      <c r="R189" s="157">
        <f t="shared" si="82"/>
        <v>3.6854762213107977</v>
      </c>
      <c r="S189" s="157">
        <f t="shared" si="82"/>
        <v>5.3988356328009299</v>
      </c>
      <c r="T189" s="157">
        <f t="shared" si="82"/>
        <v>7.0904318944901314</v>
      </c>
      <c r="U189" s="157">
        <f t="shared" si="82"/>
        <v>8.7685113668127848</v>
      </c>
      <c r="V189" s="157">
        <f t="shared" si="82"/>
        <v>10.420849724851546</v>
      </c>
      <c r="W189" s="157">
        <f t="shared" si="82"/>
        <v>12.09565875404029</v>
      </c>
      <c r="X189" s="157">
        <f t="shared" si="82"/>
        <v>13.905328348838461</v>
      </c>
      <c r="Y189" s="157">
        <f t="shared" si="82"/>
        <v>15.693416978063171</v>
      </c>
      <c r="Z189" s="157">
        <f t="shared" si="83"/>
        <v>17.51368408638055</v>
      </c>
      <c r="AA189" s="157">
        <f t="shared" si="83"/>
        <v>19.354173993722885</v>
      </c>
      <c r="AB189" s="157">
        <f t="shared" si="83"/>
        <v>21.212120508498916</v>
      </c>
      <c r="AC189" s="157">
        <f t="shared" si="83"/>
        <v>21.212120508498916</v>
      </c>
      <c r="AD189" s="157">
        <f t="shared" si="83"/>
        <v>21.212120508498916</v>
      </c>
      <c r="AE189" s="157">
        <f t="shared" si="83"/>
        <v>21.212120508498916</v>
      </c>
      <c r="AF189" s="157">
        <f t="shared" si="83"/>
        <v>21.212120508498916</v>
      </c>
      <c r="AG189" s="157">
        <f t="shared" si="83"/>
        <v>21.212120508498916</v>
      </c>
      <c r="AH189" s="157">
        <f t="shared" si="83"/>
        <v>21.212120508498916</v>
      </c>
      <c r="AI189" s="157">
        <f t="shared" si="83"/>
        <v>21.212120508498916</v>
      </c>
      <c r="AJ189" s="157">
        <f t="shared" si="83"/>
        <v>21.212120508498916</v>
      </c>
      <c r="AK189" s="157">
        <f t="shared" si="83"/>
        <v>21.212120508498916</v>
      </c>
      <c r="AL189" s="157">
        <f t="shared" si="83"/>
        <v>21.212120508498916</v>
      </c>
      <c r="AM189" s="157">
        <f t="shared" si="83"/>
        <v>21.212120508498916</v>
      </c>
      <c r="AN189" s="157">
        <f t="shared" si="84"/>
        <v>21.212120508498916</v>
      </c>
      <c r="AO189" s="157">
        <f t="shared" si="84"/>
        <v>21.212120508498916</v>
      </c>
      <c r="AP189" s="157">
        <f t="shared" si="84"/>
        <v>21.212120508498916</v>
      </c>
      <c r="AQ189" s="157">
        <f t="shared" si="84"/>
        <v>21.212120508498916</v>
      </c>
      <c r="AR189" s="157">
        <f t="shared" si="84"/>
        <v>21.212120508498916</v>
      </c>
      <c r="AS189" s="157">
        <f t="shared" si="84"/>
        <v>21.212120508498916</v>
      </c>
      <c r="AT189" s="157">
        <f t="shared" si="84"/>
        <v>21.212120508498916</v>
      </c>
      <c r="AU189" s="157">
        <f t="shared" si="84"/>
        <v>21.212120508498916</v>
      </c>
      <c r="AV189" s="157">
        <f t="shared" si="84"/>
        <v>21.212120508498916</v>
      </c>
    </row>
    <row r="190" spans="1:48">
      <c r="A190" s="185" t="s">
        <v>16</v>
      </c>
      <c r="B190" s="87" t="str">
        <f t="shared" si="81"/>
        <v>CNR</v>
      </c>
      <c r="C190" s="87" t="str">
        <f t="shared" si="81"/>
        <v>Commercial - Refrigeration</v>
      </c>
      <c r="E190" s="106"/>
      <c r="F190" s="106"/>
      <c r="I190" s="155"/>
      <c r="J190" s="157">
        <f t="shared" si="82"/>
        <v>0</v>
      </c>
      <c r="K190" s="157">
        <f t="shared" si="82"/>
        <v>0</v>
      </c>
      <c r="L190" s="157">
        <f t="shared" si="82"/>
        <v>0</v>
      </c>
      <c r="M190" s="157">
        <f t="shared" si="82"/>
        <v>0</v>
      </c>
      <c r="N190" s="157">
        <f t="shared" si="82"/>
        <v>0</v>
      </c>
      <c r="O190" s="157">
        <f t="shared" si="82"/>
        <v>0</v>
      </c>
      <c r="P190" s="157">
        <f t="shared" si="82"/>
        <v>0.3350302874487357</v>
      </c>
      <c r="Q190" s="157">
        <f t="shared" si="82"/>
        <v>0.69283622958553637</v>
      </c>
      <c r="R190" s="157">
        <f t="shared" si="82"/>
        <v>0.89654422327597971</v>
      </c>
      <c r="S190" s="157">
        <f t="shared" si="82"/>
        <v>1.3133431362318395</v>
      </c>
      <c r="T190" s="157">
        <f t="shared" si="82"/>
        <v>1.724847855150714</v>
      </c>
      <c r="U190" s="157">
        <f t="shared" si="82"/>
        <v>2.1330644238561254</v>
      </c>
      <c r="V190" s="157">
        <f t="shared" si="82"/>
        <v>2.5350191023942732</v>
      </c>
      <c r="W190" s="157">
        <f t="shared" si="82"/>
        <v>2.9424400895457175</v>
      </c>
      <c r="X190" s="157">
        <f t="shared" si="82"/>
        <v>3.3826678169348883</v>
      </c>
      <c r="Y190" s="157">
        <f t="shared" si="82"/>
        <v>3.8176456691774705</v>
      </c>
      <c r="Z190" s="157">
        <f t="shared" si="83"/>
        <v>4.2604513916359892</v>
      </c>
      <c r="AA190" s="157">
        <f t="shared" si="83"/>
        <v>4.7081765960163988</v>
      </c>
      <c r="AB190" s="157">
        <f t="shared" si="83"/>
        <v>5.1601483670853066</v>
      </c>
      <c r="AC190" s="157">
        <f t="shared" si="83"/>
        <v>5.1601483670853066</v>
      </c>
      <c r="AD190" s="157">
        <f t="shared" si="83"/>
        <v>5.1601483670853066</v>
      </c>
      <c r="AE190" s="157">
        <f t="shared" si="83"/>
        <v>5.1601483670853066</v>
      </c>
      <c r="AF190" s="157">
        <f t="shared" si="83"/>
        <v>5.1601483670853066</v>
      </c>
      <c r="AG190" s="157">
        <f t="shared" si="83"/>
        <v>5.1601483670853066</v>
      </c>
      <c r="AH190" s="157">
        <f t="shared" si="83"/>
        <v>5.1601483670853066</v>
      </c>
      <c r="AI190" s="157">
        <f t="shared" si="83"/>
        <v>5.1601483670853066</v>
      </c>
      <c r="AJ190" s="157">
        <f t="shared" si="83"/>
        <v>5.1601483670853066</v>
      </c>
      <c r="AK190" s="157">
        <f t="shared" si="83"/>
        <v>5.1601483670853066</v>
      </c>
      <c r="AL190" s="157">
        <f t="shared" si="83"/>
        <v>5.1601483670853066</v>
      </c>
      <c r="AM190" s="157">
        <f t="shared" si="83"/>
        <v>5.1601483670853066</v>
      </c>
      <c r="AN190" s="157">
        <f t="shared" si="84"/>
        <v>5.1601483670853066</v>
      </c>
      <c r="AO190" s="157">
        <f t="shared" si="84"/>
        <v>5.1601483670853066</v>
      </c>
      <c r="AP190" s="157">
        <f t="shared" si="84"/>
        <v>5.1601483670853066</v>
      </c>
      <c r="AQ190" s="157">
        <f t="shared" si="84"/>
        <v>5.1601483670853066</v>
      </c>
      <c r="AR190" s="157">
        <f t="shared" si="84"/>
        <v>5.1601483670853066</v>
      </c>
      <c r="AS190" s="157">
        <f t="shared" si="84"/>
        <v>5.1601483670853066</v>
      </c>
      <c r="AT190" s="157">
        <f t="shared" si="84"/>
        <v>5.1601483670853066</v>
      </c>
      <c r="AU190" s="157">
        <f t="shared" si="84"/>
        <v>5.1601483670853066</v>
      </c>
      <c r="AV190" s="157">
        <f t="shared" si="84"/>
        <v>5.1601483670853066</v>
      </c>
    </row>
    <row r="191" spans="1:48">
      <c r="A191" s="185" t="s">
        <v>16</v>
      </c>
      <c r="B191" s="87" t="str">
        <f t="shared" si="81"/>
        <v>CNW</v>
      </c>
      <c r="C191" s="87" t="str">
        <f t="shared" si="81"/>
        <v>Commercial - Water Heating</v>
      </c>
      <c r="E191" s="106"/>
      <c r="F191" s="106"/>
      <c r="I191" s="155"/>
      <c r="J191" s="157">
        <f t="shared" si="82"/>
        <v>0</v>
      </c>
      <c r="K191" s="157">
        <f t="shared" si="82"/>
        <v>0</v>
      </c>
      <c r="L191" s="157">
        <f t="shared" si="82"/>
        <v>0</v>
      </c>
      <c r="M191" s="157">
        <f t="shared" si="82"/>
        <v>0</v>
      </c>
      <c r="N191" s="157">
        <f t="shared" si="82"/>
        <v>0</v>
      </c>
      <c r="O191" s="157">
        <f t="shared" si="82"/>
        <v>0</v>
      </c>
      <c r="P191" s="157">
        <f t="shared" si="82"/>
        <v>0.17464786244388691</v>
      </c>
      <c r="Q191" s="157">
        <f t="shared" si="82"/>
        <v>0.36116844074675197</v>
      </c>
      <c r="R191" s="157">
        <f t="shared" si="82"/>
        <v>0.46735933450650663</v>
      </c>
      <c r="S191" s="157">
        <f t="shared" si="82"/>
        <v>0.6846323451677141</v>
      </c>
      <c r="T191" s="157">
        <f t="shared" si="82"/>
        <v>0.89914554662192836</v>
      </c>
      <c r="U191" s="157">
        <f t="shared" si="82"/>
        <v>1.1119446689982515</v>
      </c>
      <c r="V191" s="157">
        <f t="shared" si="82"/>
        <v>1.321479532071635</v>
      </c>
      <c r="W191" s="157">
        <f t="shared" si="82"/>
        <v>1.5338639259204025</v>
      </c>
      <c r="X191" s="157">
        <f t="shared" si="82"/>
        <v>1.7633501379358263</v>
      </c>
      <c r="Y191" s="157">
        <f t="shared" si="82"/>
        <v>1.9900996437285645</v>
      </c>
      <c r="Z191" s="157">
        <f t="shared" si="83"/>
        <v>2.2209297382081115</v>
      </c>
      <c r="AA191" s="157">
        <f t="shared" si="83"/>
        <v>2.4543243083012873</v>
      </c>
      <c r="AB191" s="157">
        <f t="shared" si="83"/>
        <v>2.689932570178927</v>
      </c>
      <c r="AC191" s="157">
        <f t="shared" si="83"/>
        <v>2.689932570178927</v>
      </c>
      <c r="AD191" s="157">
        <f t="shared" si="83"/>
        <v>2.689932570178927</v>
      </c>
      <c r="AE191" s="157">
        <f t="shared" si="83"/>
        <v>2.689932570178927</v>
      </c>
      <c r="AF191" s="157">
        <f t="shared" si="83"/>
        <v>2.689932570178927</v>
      </c>
      <c r="AG191" s="157">
        <f t="shared" si="83"/>
        <v>2.689932570178927</v>
      </c>
      <c r="AH191" s="157">
        <f t="shared" si="83"/>
        <v>2.689932570178927</v>
      </c>
      <c r="AI191" s="157">
        <f t="shared" si="83"/>
        <v>2.689932570178927</v>
      </c>
      <c r="AJ191" s="157">
        <f t="shared" si="83"/>
        <v>2.689932570178927</v>
      </c>
      <c r="AK191" s="157">
        <f t="shared" si="83"/>
        <v>2.689932570178927</v>
      </c>
      <c r="AL191" s="157">
        <f t="shared" si="83"/>
        <v>2.689932570178927</v>
      </c>
      <c r="AM191" s="157">
        <f t="shared" si="83"/>
        <v>2.689932570178927</v>
      </c>
      <c r="AN191" s="157">
        <f t="shared" si="84"/>
        <v>2.689932570178927</v>
      </c>
      <c r="AO191" s="157">
        <f t="shared" si="84"/>
        <v>2.689932570178927</v>
      </c>
      <c r="AP191" s="157">
        <f t="shared" si="84"/>
        <v>2.689932570178927</v>
      </c>
      <c r="AQ191" s="157">
        <f t="shared" si="84"/>
        <v>2.689932570178927</v>
      </c>
      <c r="AR191" s="157">
        <f t="shared" si="84"/>
        <v>2.689932570178927</v>
      </c>
      <c r="AS191" s="157">
        <f t="shared" si="84"/>
        <v>2.689932570178927</v>
      </c>
      <c r="AT191" s="157">
        <f t="shared" si="84"/>
        <v>2.689932570178927</v>
      </c>
      <c r="AU191" s="157">
        <f t="shared" si="84"/>
        <v>2.689932570178927</v>
      </c>
      <c r="AV191" s="157">
        <f t="shared" si="84"/>
        <v>2.689932570178927</v>
      </c>
    </row>
    <row r="192" spans="1:48">
      <c r="A192" s="185" t="s">
        <v>16</v>
      </c>
      <c r="B192" s="87" t="str">
        <f t="shared" si="81"/>
        <v>CNG</v>
      </c>
      <c r="C192" s="87" t="str">
        <f t="shared" si="81"/>
        <v>Commercial - Public lights</v>
      </c>
      <c r="E192" s="106"/>
      <c r="F192" s="106"/>
      <c r="I192" s="155"/>
      <c r="J192" s="157">
        <f t="shared" si="82"/>
        <v>0</v>
      </c>
      <c r="K192" s="157">
        <f t="shared" si="82"/>
        <v>0</v>
      </c>
      <c r="L192" s="157">
        <f t="shared" si="82"/>
        <v>0</v>
      </c>
      <c r="M192" s="157">
        <f t="shared" si="82"/>
        <v>0</v>
      </c>
      <c r="N192" s="157">
        <f t="shared" si="82"/>
        <v>0</v>
      </c>
      <c r="O192" s="157">
        <f t="shared" si="82"/>
        <v>0</v>
      </c>
      <c r="P192" s="157">
        <f t="shared" si="82"/>
        <v>0</v>
      </c>
      <c r="Q192" s="157">
        <f t="shared" si="82"/>
        <v>0</v>
      </c>
      <c r="R192" s="157">
        <f t="shared" si="82"/>
        <v>0</v>
      </c>
      <c r="S192" s="157">
        <f t="shared" si="82"/>
        <v>0</v>
      </c>
      <c r="T192" s="157">
        <f t="shared" si="82"/>
        <v>0</v>
      </c>
      <c r="U192" s="157">
        <f t="shared" si="82"/>
        <v>0</v>
      </c>
      <c r="V192" s="157">
        <f t="shared" si="82"/>
        <v>0</v>
      </c>
      <c r="W192" s="157">
        <f t="shared" si="82"/>
        <v>0</v>
      </c>
      <c r="X192" s="157">
        <f t="shared" si="82"/>
        <v>0</v>
      </c>
      <c r="Y192" s="157">
        <f t="shared" si="82"/>
        <v>0</v>
      </c>
      <c r="Z192" s="157">
        <f t="shared" si="83"/>
        <v>0</v>
      </c>
      <c r="AA192" s="157">
        <f t="shared" si="83"/>
        <v>0</v>
      </c>
      <c r="AB192" s="157">
        <f t="shared" si="83"/>
        <v>0</v>
      </c>
      <c r="AC192" s="157">
        <f t="shared" si="83"/>
        <v>0</v>
      </c>
      <c r="AD192" s="157">
        <f t="shared" si="83"/>
        <v>0</v>
      </c>
      <c r="AE192" s="157">
        <f t="shared" si="83"/>
        <v>0</v>
      </c>
      <c r="AF192" s="157">
        <f t="shared" si="83"/>
        <v>0</v>
      </c>
      <c r="AG192" s="157">
        <f t="shared" si="83"/>
        <v>0</v>
      </c>
      <c r="AH192" s="157">
        <f t="shared" si="83"/>
        <v>0</v>
      </c>
      <c r="AI192" s="157">
        <f t="shared" si="83"/>
        <v>0</v>
      </c>
      <c r="AJ192" s="157">
        <f t="shared" si="83"/>
        <v>0</v>
      </c>
      <c r="AK192" s="157">
        <f t="shared" si="83"/>
        <v>0</v>
      </c>
      <c r="AL192" s="157">
        <f t="shared" si="83"/>
        <v>0</v>
      </c>
      <c r="AM192" s="157">
        <f t="shared" si="83"/>
        <v>0</v>
      </c>
      <c r="AN192" s="157">
        <f t="shared" si="84"/>
        <v>0</v>
      </c>
      <c r="AO192" s="157">
        <f t="shared" si="84"/>
        <v>0</v>
      </c>
      <c r="AP192" s="157">
        <f t="shared" si="84"/>
        <v>0</v>
      </c>
      <c r="AQ192" s="157">
        <f t="shared" si="84"/>
        <v>0</v>
      </c>
      <c r="AR192" s="157">
        <f t="shared" si="84"/>
        <v>0</v>
      </c>
      <c r="AS192" s="157">
        <f t="shared" si="84"/>
        <v>0</v>
      </c>
      <c r="AT192" s="157">
        <f t="shared" si="84"/>
        <v>0</v>
      </c>
      <c r="AU192" s="157">
        <f t="shared" si="84"/>
        <v>0</v>
      </c>
      <c r="AV192" s="157">
        <f t="shared" si="84"/>
        <v>0</v>
      </c>
    </row>
    <row r="193" spans="1:48">
      <c r="A193" s="185" t="s">
        <v>16</v>
      </c>
      <c r="B193" s="87" t="str">
        <f t="shared" si="81"/>
        <v>CNT</v>
      </c>
      <c r="C193" s="87" t="str">
        <f t="shared" si="81"/>
        <v>Commercial - Public Water</v>
      </c>
      <c r="E193" s="106"/>
      <c r="F193" s="106"/>
      <c r="I193" s="155"/>
      <c r="J193" s="157">
        <f t="shared" si="82"/>
        <v>0</v>
      </c>
      <c r="K193" s="157">
        <f t="shared" si="82"/>
        <v>0</v>
      </c>
      <c r="L193" s="157">
        <f t="shared" si="82"/>
        <v>0</v>
      </c>
      <c r="M193" s="157">
        <f t="shared" si="82"/>
        <v>0</v>
      </c>
      <c r="N193" s="157">
        <f t="shared" si="82"/>
        <v>0</v>
      </c>
      <c r="O193" s="157">
        <f t="shared" si="82"/>
        <v>0</v>
      </c>
      <c r="P193" s="157">
        <f t="shared" si="82"/>
        <v>0</v>
      </c>
      <c r="Q193" s="157">
        <f t="shared" si="82"/>
        <v>0</v>
      </c>
      <c r="R193" s="157">
        <f t="shared" si="82"/>
        <v>0</v>
      </c>
      <c r="S193" s="157">
        <f t="shared" si="82"/>
        <v>0</v>
      </c>
      <c r="T193" s="157">
        <f t="shared" si="82"/>
        <v>0</v>
      </c>
      <c r="U193" s="157">
        <f t="shared" si="82"/>
        <v>0</v>
      </c>
      <c r="V193" s="157">
        <f t="shared" si="82"/>
        <v>0</v>
      </c>
      <c r="W193" s="157">
        <f t="shared" si="82"/>
        <v>0</v>
      </c>
      <c r="X193" s="157">
        <f t="shared" si="82"/>
        <v>0</v>
      </c>
      <c r="Y193" s="157">
        <f t="shared" si="82"/>
        <v>0</v>
      </c>
      <c r="Z193" s="157">
        <f t="shared" si="83"/>
        <v>0</v>
      </c>
      <c r="AA193" s="157">
        <f t="shared" si="83"/>
        <v>0</v>
      </c>
      <c r="AB193" s="157">
        <f t="shared" si="83"/>
        <v>0</v>
      </c>
      <c r="AC193" s="157">
        <f t="shared" si="83"/>
        <v>0</v>
      </c>
      <c r="AD193" s="157">
        <f t="shared" si="83"/>
        <v>0</v>
      </c>
      <c r="AE193" s="157">
        <f t="shared" si="83"/>
        <v>0</v>
      </c>
      <c r="AF193" s="157">
        <f t="shared" si="83"/>
        <v>0</v>
      </c>
      <c r="AG193" s="157">
        <f t="shared" si="83"/>
        <v>0</v>
      </c>
      <c r="AH193" s="157">
        <f t="shared" si="83"/>
        <v>0</v>
      </c>
      <c r="AI193" s="157">
        <f t="shared" si="83"/>
        <v>0</v>
      </c>
      <c r="AJ193" s="157">
        <f t="shared" si="83"/>
        <v>0</v>
      </c>
      <c r="AK193" s="157">
        <f t="shared" si="83"/>
        <v>0</v>
      </c>
      <c r="AL193" s="157">
        <f t="shared" si="83"/>
        <v>0</v>
      </c>
      <c r="AM193" s="157">
        <f t="shared" si="83"/>
        <v>0</v>
      </c>
      <c r="AN193" s="157">
        <f t="shared" si="84"/>
        <v>0</v>
      </c>
      <c r="AO193" s="157">
        <f t="shared" si="84"/>
        <v>0</v>
      </c>
      <c r="AP193" s="157">
        <f t="shared" si="84"/>
        <v>0</v>
      </c>
      <c r="AQ193" s="157">
        <f t="shared" si="84"/>
        <v>0</v>
      </c>
      <c r="AR193" s="157">
        <f t="shared" si="84"/>
        <v>0</v>
      </c>
      <c r="AS193" s="157">
        <f t="shared" si="84"/>
        <v>0</v>
      </c>
      <c r="AT193" s="157">
        <f t="shared" si="84"/>
        <v>0</v>
      </c>
      <c r="AU193" s="157">
        <f t="shared" si="84"/>
        <v>0</v>
      </c>
      <c r="AV193" s="157">
        <f t="shared" si="84"/>
        <v>0</v>
      </c>
    </row>
    <row r="194" spans="1:48">
      <c r="A194" s="185" t="s">
        <v>16</v>
      </c>
      <c r="B194" s="87" t="str">
        <f t="shared" si="81"/>
        <v>CNO</v>
      </c>
      <c r="C194" s="87" t="str">
        <f t="shared" si="81"/>
        <v>Commercial - Other</v>
      </c>
      <c r="E194" s="106"/>
      <c r="F194" s="106"/>
      <c r="I194" s="155"/>
      <c r="J194" s="157">
        <f t="shared" si="82"/>
        <v>0</v>
      </c>
      <c r="K194" s="157">
        <f t="shared" si="82"/>
        <v>0</v>
      </c>
      <c r="L194" s="157">
        <f t="shared" si="82"/>
        <v>0</v>
      </c>
      <c r="M194" s="157">
        <f t="shared" si="82"/>
        <v>0</v>
      </c>
      <c r="N194" s="157">
        <f t="shared" si="82"/>
        <v>0</v>
      </c>
      <c r="O194" s="157">
        <f t="shared" si="82"/>
        <v>0</v>
      </c>
      <c r="P194" s="157">
        <f t="shared" si="82"/>
        <v>0.22366371570704255</v>
      </c>
      <c r="Q194" s="157">
        <f t="shared" si="82"/>
        <v>0.46253228824653669</v>
      </c>
      <c r="R194" s="157">
        <f t="shared" si="82"/>
        <v>0.59852622221288887</v>
      </c>
      <c r="S194" s="157">
        <f t="shared" si="82"/>
        <v>0.87677806112649204</v>
      </c>
      <c r="T194" s="157">
        <f t="shared" si="82"/>
        <v>1.1514955356726129</v>
      </c>
      <c r="U194" s="157">
        <f t="shared" si="82"/>
        <v>1.4240178657136013</v>
      </c>
      <c r="V194" s="157">
        <f t="shared" si="82"/>
        <v>1.6923598046836066</v>
      </c>
      <c r="W194" s="157">
        <f t="shared" si="82"/>
        <v>1.9643510104257644</v>
      </c>
      <c r="X194" s="157">
        <f t="shared" si="82"/>
        <v>2.2582437507356836</v>
      </c>
      <c r="Y194" s="157">
        <f t="shared" si="82"/>
        <v>2.5486317136380867</v>
      </c>
      <c r="Z194" s="157">
        <f t="shared" si="83"/>
        <v>2.8442455041870032</v>
      </c>
      <c r="AA194" s="157">
        <f t="shared" si="83"/>
        <v>3.1431435040961606</v>
      </c>
      <c r="AB194" s="157">
        <f t="shared" si="83"/>
        <v>3.444876480185473</v>
      </c>
      <c r="AC194" s="157">
        <f t="shared" si="83"/>
        <v>3.444876480185473</v>
      </c>
      <c r="AD194" s="157">
        <f t="shared" si="83"/>
        <v>3.444876480185473</v>
      </c>
      <c r="AE194" s="157">
        <f t="shared" si="83"/>
        <v>3.444876480185473</v>
      </c>
      <c r="AF194" s="157">
        <f t="shared" si="83"/>
        <v>3.444876480185473</v>
      </c>
      <c r="AG194" s="157">
        <f t="shared" si="83"/>
        <v>3.444876480185473</v>
      </c>
      <c r="AH194" s="157">
        <f t="shared" si="83"/>
        <v>3.444876480185473</v>
      </c>
      <c r="AI194" s="157">
        <f t="shared" si="83"/>
        <v>3.444876480185473</v>
      </c>
      <c r="AJ194" s="157">
        <f t="shared" si="83"/>
        <v>3.444876480185473</v>
      </c>
      <c r="AK194" s="157">
        <f t="shared" si="83"/>
        <v>3.444876480185473</v>
      </c>
      <c r="AL194" s="157">
        <f t="shared" si="83"/>
        <v>3.444876480185473</v>
      </c>
      <c r="AM194" s="157">
        <f t="shared" si="83"/>
        <v>3.444876480185473</v>
      </c>
      <c r="AN194" s="157">
        <f t="shared" si="84"/>
        <v>3.444876480185473</v>
      </c>
      <c r="AO194" s="157">
        <f t="shared" si="84"/>
        <v>3.444876480185473</v>
      </c>
      <c r="AP194" s="157">
        <f t="shared" si="84"/>
        <v>3.444876480185473</v>
      </c>
      <c r="AQ194" s="157">
        <f t="shared" si="84"/>
        <v>3.444876480185473</v>
      </c>
      <c r="AR194" s="157">
        <f t="shared" si="84"/>
        <v>3.444876480185473</v>
      </c>
      <c r="AS194" s="157">
        <f t="shared" si="84"/>
        <v>3.444876480185473</v>
      </c>
      <c r="AT194" s="157">
        <f t="shared" si="84"/>
        <v>3.444876480185473</v>
      </c>
      <c r="AU194" s="157">
        <f t="shared" si="84"/>
        <v>3.444876480185473</v>
      </c>
      <c r="AV194" s="157">
        <f t="shared" si="84"/>
        <v>3.444876480185473</v>
      </c>
    </row>
    <row r="195" spans="1:48">
      <c r="A195" s="185" t="s">
        <v>16</v>
      </c>
      <c r="E195" s="106"/>
      <c r="F195" s="106"/>
      <c r="I195" s="155"/>
      <c r="J195" s="157"/>
      <c r="K195" s="157"/>
      <c r="L195" s="157"/>
      <c r="M195" s="157"/>
      <c r="N195" s="157"/>
      <c r="O195" s="157"/>
      <c r="P195" s="157"/>
      <c r="Q195" s="157"/>
      <c r="R195" s="157"/>
      <c r="S195" s="157"/>
      <c r="T195" s="157"/>
      <c r="U195" s="157"/>
      <c r="V195" s="157"/>
      <c r="W195" s="157"/>
      <c r="X195" s="157"/>
      <c r="Y195" s="157"/>
      <c r="Z195" s="157"/>
      <c r="AA195" s="157"/>
      <c r="AB195" s="157"/>
      <c r="AC195" s="157"/>
      <c r="AD195" s="157"/>
      <c r="AE195" s="157"/>
      <c r="AF195" s="157"/>
      <c r="AG195" s="157"/>
      <c r="AH195" s="157"/>
      <c r="AI195" s="157"/>
      <c r="AJ195" s="157"/>
      <c r="AK195" s="157"/>
      <c r="AL195" s="157"/>
      <c r="AM195" s="157"/>
      <c r="AN195" s="157"/>
      <c r="AO195" s="157"/>
      <c r="AP195" s="157"/>
      <c r="AQ195" s="157"/>
      <c r="AR195" s="157"/>
      <c r="AS195" s="157"/>
      <c r="AT195" s="157"/>
      <c r="AU195" s="157"/>
      <c r="AV195" s="157"/>
    </row>
    <row r="196" spans="1:48">
      <c r="A196" s="185" t="s">
        <v>16</v>
      </c>
      <c r="E196" s="106"/>
      <c r="F196" s="106"/>
      <c r="I196" s="155" t="s">
        <v>112</v>
      </c>
      <c r="J196" s="157"/>
      <c r="K196" s="157"/>
      <c r="L196" s="157"/>
      <c r="M196" s="157"/>
      <c r="N196" s="157"/>
      <c r="O196" s="157"/>
      <c r="P196" s="157"/>
      <c r="Q196" s="157"/>
      <c r="R196" s="157"/>
      <c r="S196" s="157"/>
      <c r="T196" s="157"/>
      <c r="U196" s="157"/>
      <c r="V196" s="157"/>
      <c r="W196" s="157"/>
      <c r="X196" s="157"/>
      <c r="Y196" s="157"/>
      <c r="Z196" s="157"/>
      <c r="AA196" s="157"/>
      <c r="AB196" s="157"/>
      <c r="AC196" s="157"/>
      <c r="AD196" s="157"/>
      <c r="AE196" s="157"/>
      <c r="AF196" s="157"/>
      <c r="AG196" s="157"/>
      <c r="AH196" s="157"/>
      <c r="AI196" s="157"/>
      <c r="AJ196" s="157"/>
      <c r="AK196" s="157"/>
      <c r="AL196" s="157"/>
      <c r="AM196" s="157"/>
      <c r="AN196" s="157"/>
      <c r="AO196" s="157"/>
      <c r="AP196" s="157"/>
      <c r="AQ196" s="157"/>
      <c r="AR196" s="157"/>
      <c r="AS196" s="157"/>
      <c r="AT196" s="157"/>
      <c r="AU196" s="157"/>
      <c r="AV196" s="157"/>
    </row>
    <row r="197" spans="1:48">
      <c r="A197" s="185" t="s">
        <v>16</v>
      </c>
      <c r="B197" s="87" t="str">
        <f t="shared" ref="B197:C205" si="85">B186</f>
        <v>CNC</v>
      </c>
      <c r="C197" s="87" t="str">
        <f t="shared" si="85"/>
        <v>Commercial - Cooling</v>
      </c>
      <c r="E197" s="106"/>
      <c r="F197" s="106"/>
      <c r="I197" s="155"/>
      <c r="J197" s="157">
        <f t="shared" ref="J197:Y205" si="86">INDEX(J$49:J$52,MATCH($I$196,$B$49:$B$52,0),1)*INDEX(J$81:J$89,MATCH($B197,$B$81:$B$89,0))*INDEX(J$127:J$135,MATCH($B197,$B$127:$B$135,0))/1000</f>
        <v>0</v>
      </c>
      <c r="K197" s="157">
        <f t="shared" si="86"/>
        <v>0</v>
      </c>
      <c r="L197" s="157">
        <f t="shared" si="86"/>
        <v>0</v>
      </c>
      <c r="M197" s="157">
        <f t="shared" si="86"/>
        <v>0</v>
      </c>
      <c r="N197" s="157">
        <f t="shared" si="86"/>
        <v>0</v>
      </c>
      <c r="O197" s="157">
        <f t="shared" si="86"/>
        <v>0</v>
      </c>
      <c r="P197" s="157">
        <f t="shared" si="86"/>
        <v>0</v>
      </c>
      <c r="Q197" s="157">
        <f t="shared" si="86"/>
        <v>0</v>
      </c>
      <c r="R197" s="157">
        <f t="shared" si="86"/>
        <v>0</v>
      </c>
      <c r="S197" s="157">
        <f t="shared" si="86"/>
        <v>0</v>
      </c>
      <c r="T197" s="157">
        <f t="shared" si="86"/>
        <v>0</v>
      </c>
      <c r="U197" s="157">
        <f t="shared" si="86"/>
        <v>0</v>
      </c>
      <c r="V197" s="157">
        <f t="shared" si="86"/>
        <v>0</v>
      </c>
      <c r="W197" s="157">
        <f t="shared" si="86"/>
        <v>0</v>
      </c>
      <c r="X197" s="157">
        <f t="shared" si="86"/>
        <v>0</v>
      </c>
      <c r="Y197" s="157">
        <f t="shared" si="86"/>
        <v>0</v>
      </c>
      <c r="Z197" s="157">
        <f t="shared" ref="Z197:AO205" si="87">INDEX(Z$49:Z$52,MATCH($I$196,$B$49:$B$52,0),1)*INDEX(Z$81:Z$89,MATCH($B197,$B$81:$B$89,0))*INDEX(Z$127:Z$135,MATCH($B197,$B$127:$B$135,0))/1000</f>
        <v>0</v>
      </c>
      <c r="AA197" s="157">
        <f t="shared" si="87"/>
        <v>0</v>
      </c>
      <c r="AB197" s="157">
        <f t="shared" si="87"/>
        <v>0</v>
      </c>
      <c r="AC197" s="157">
        <f t="shared" si="87"/>
        <v>2.2863817738144188</v>
      </c>
      <c r="AD197" s="157">
        <f t="shared" si="87"/>
        <v>4.532681232998784</v>
      </c>
      <c r="AE197" s="157">
        <f t="shared" si="87"/>
        <v>6.8800150292623083</v>
      </c>
      <c r="AF197" s="157">
        <f t="shared" si="87"/>
        <v>9.3055122892236817</v>
      </c>
      <c r="AG197" s="157">
        <f t="shared" si="87"/>
        <v>11.800768552231213</v>
      </c>
      <c r="AH197" s="157">
        <f t="shared" si="87"/>
        <v>14.341906259114523</v>
      </c>
      <c r="AI197" s="157">
        <f t="shared" si="87"/>
        <v>16.920814709739982</v>
      </c>
      <c r="AJ197" s="157">
        <f t="shared" si="87"/>
        <v>19.501218092649449</v>
      </c>
      <c r="AK197" s="157">
        <f t="shared" si="87"/>
        <v>22.121296583835356</v>
      </c>
      <c r="AL197" s="157">
        <f t="shared" si="87"/>
        <v>24.814607499899793</v>
      </c>
      <c r="AM197" s="157">
        <f t="shared" si="87"/>
        <v>24.814607499899793</v>
      </c>
      <c r="AN197" s="157">
        <f t="shared" si="87"/>
        <v>24.814607499899793</v>
      </c>
      <c r="AO197" s="157">
        <f t="shared" si="87"/>
        <v>24.814607499899793</v>
      </c>
      <c r="AP197" s="157">
        <f t="shared" ref="AN197:AV205" si="88">INDEX(AP$49:AP$52,MATCH($I$196,$B$49:$B$52,0),1)*INDEX(AP$81:AP$89,MATCH($B197,$B$81:$B$89,0))*INDEX(AP$127:AP$135,MATCH($B197,$B$127:$B$135,0))/1000</f>
        <v>24.814607499899793</v>
      </c>
      <c r="AQ197" s="157">
        <f t="shared" si="88"/>
        <v>24.814607499899793</v>
      </c>
      <c r="AR197" s="157">
        <f t="shared" si="88"/>
        <v>24.814607499899793</v>
      </c>
      <c r="AS197" s="157">
        <f t="shared" si="88"/>
        <v>24.814607499899793</v>
      </c>
      <c r="AT197" s="157">
        <f t="shared" si="88"/>
        <v>24.814607499899793</v>
      </c>
      <c r="AU197" s="157">
        <f t="shared" si="88"/>
        <v>24.814607499899793</v>
      </c>
      <c r="AV197" s="157">
        <f t="shared" si="88"/>
        <v>24.814607499899793</v>
      </c>
    </row>
    <row r="198" spans="1:48">
      <c r="A198" s="185" t="s">
        <v>16</v>
      </c>
      <c r="B198" s="87" t="str">
        <f t="shared" si="85"/>
        <v>CNH</v>
      </c>
      <c r="C198" s="87" t="str">
        <f t="shared" si="85"/>
        <v>Commercial - Space Heating</v>
      </c>
      <c r="E198" s="106"/>
      <c r="F198" s="106"/>
      <c r="I198" s="155"/>
      <c r="J198" s="157">
        <f t="shared" si="86"/>
        <v>0</v>
      </c>
      <c r="K198" s="157">
        <f t="shared" si="86"/>
        <v>0</v>
      </c>
      <c r="L198" s="157">
        <f t="shared" si="86"/>
        <v>0</v>
      </c>
      <c r="M198" s="157">
        <f t="shared" si="86"/>
        <v>0</v>
      </c>
      <c r="N198" s="157">
        <f t="shared" si="86"/>
        <v>0</v>
      </c>
      <c r="O198" s="157">
        <f t="shared" si="86"/>
        <v>0</v>
      </c>
      <c r="P198" s="157">
        <f t="shared" si="86"/>
        <v>0</v>
      </c>
      <c r="Q198" s="157">
        <f t="shared" si="86"/>
        <v>0</v>
      </c>
      <c r="R198" s="157">
        <f t="shared" si="86"/>
        <v>0</v>
      </c>
      <c r="S198" s="157">
        <f t="shared" si="86"/>
        <v>0</v>
      </c>
      <c r="T198" s="157">
        <f t="shared" si="86"/>
        <v>0</v>
      </c>
      <c r="U198" s="157">
        <f t="shared" si="86"/>
        <v>0</v>
      </c>
      <c r="V198" s="157">
        <f t="shared" si="86"/>
        <v>0</v>
      </c>
      <c r="W198" s="157">
        <f t="shared" si="86"/>
        <v>0</v>
      </c>
      <c r="X198" s="157">
        <f t="shared" si="86"/>
        <v>0</v>
      </c>
      <c r="Y198" s="157">
        <f t="shared" si="86"/>
        <v>0</v>
      </c>
      <c r="Z198" s="157">
        <f t="shared" si="87"/>
        <v>0</v>
      </c>
      <c r="AA198" s="157">
        <f t="shared" si="87"/>
        <v>0</v>
      </c>
      <c r="AB198" s="157">
        <f t="shared" si="87"/>
        <v>0</v>
      </c>
      <c r="AC198" s="157">
        <f t="shared" si="87"/>
        <v>0.2180438574617688</v>
      </c>
      <c r="AD198" s="157">
        <f t="shared" si="87"/>
        <v>0.43226521135128748</v>
      </c>
      <c r="AE198" s="157">
        <f t="shared" si="87"/>
        <v>0.65612183999900175</v>
      </c>
      <c r="AF198" s="157">
        <f t="shared" si="87"/>
        <v>0.88743263195944166</v>
      </c>
      <c r="AG198" s="157">
        <f t="shared" si="87"/>
        <v>1.1253960845958348</v>
      </c>
      <c r="AH198" s="157">
        <f t="shared" si="87"/>
        <v>1.367735082525305</v>
      </c>
      <c r="AI198" s="157">
        <f t="shared" si="87"/>
        <v>1.6136761379759903</v>
      </c>
      <c r="AJ198" s="157">
        <f t="shared" si="87"/>
        <v>1.8597597596444362</v>
      </c>
      <c r="AK198" s="157">
        <f t="shared" si="87"/>
        <v>2.1096270511063024</v>
      </c>
      <c r="AL198" s="157">
        <f t="shared" si="87"/>
        <v>2.3664782507652475</v>
      </c>
      <c r="AM198" s="157">
        <f t="shared" si="87"/>
        <v>2.3664782507652475</v>
      </c>
      <c r="AN198" s="157">
        <f t="shared" si="88"/>
        <v>2.3664782507652475</v>
      </c>
      <c r="AO198" s="157">
        <f t="shared" si="88"/>
        <v>2.3664782507652475</v>
      </c>
      <c r="AP198" s="157">
        <f t="shared" si="88"/>
        <v>2.3664782507652475</v>
      </c>
      <c r="AQ198" s="157">
        <f t="shared" si="88"/>
        <v>2.3664782507652475</v>
      </c>
      <c r="AR198" s="157">
        <f t="shared" si="88"/>
        <v>2.3664782507652475</v>
      </c>
      <c r="AS198" s="157">
        <f t="shared" si="88"/>
        <v>2.3664782507652475</v>
      </c>
      <c r="AT198" s="157">
        <f t="shared" si="88"/>
        <v>2.3664782507652475</v>
      </c>
      <c r="AU198" s="157">
        <f t="shared" si="88"/>
        <v>2.3664782507652475</v>
      </c>
      <c r="AV198" s="157">
        <f t="shared" si="88"/>
        <v>2.3664782507652475</v>
      </c>
    </row>
    <row r="199" spans="1:48">
      <c r="A199" s="185" t="s">
        <v>16</v>
      </c>
      <c r="B199" s="87" t="str">
        <f t="shared" si="85"/>
        <v>CNK</v>
      </c>
      <c r="C199" s="87" t="str">
        <f t="shared" si="85"/>
        <v>Commercial - Cooking</v>
      </c>
      <c r="E199" s="106"/>
      <c r="F199" s="106"/>
      <c r="I199" s="155"/>
      <c r="J199" s="157">
        <f t="shared" si="86"/>
        <v>0</v>
      </c>
      <c r="K199" s="157">
        <f t="shared" si="86"/>
        <v>0</v>
      </c>
      <c r="L199" s="157">
        <f t="shared" si="86"/>
        <v>0</v>
      </c>
      <c r="M199" s="157">
        <f t="shared" si="86"/>
        <v>0</v>
      </c>
      <c r="N199" s="157">
        <f t="shared" si="86"/>
        <v>0</v>
      </c>
      <c r="O199" s="157">
        <f t="shared" si="86"/>
        <v>0</v>
      </c>
      <c r="P199" s="157">
        <f t="shared" si="86"/>
        <v>0</v>
      </c>
      <c r="Q199" s="157">
        <f t="shared" si="86"/>
        <v>0</v>
      </c>
      <c r="R199" s="157">
        <f t="shared" si="86"/>
        <v>0</v>
      </c>
      <c r="S199" s="157">
        <f t="shared" si="86"/>
        <v>0</v>
      </c>
      <c r="T199" s="157">
        <f t="shared" si="86"/>
        <v>0</v>
      </c>
      <c r="U199" s="157">
        <f t="shared" si="86"/>
        <v>0</v>
      </c>
      <c r="V199" s="157">
        <f t="shared" si="86"/>
        <v>0</v>
      </c>
      <c r="W199" s="157">
        <f t="shared" si="86"/>
        <v>0</v>
      </c>
      <c r="X199" s="157">
        <f t="shared" si="86"/>
        <v>0</v>
      </c>
      <c r="Y199" s="157">
        <f t="shared" si="86"/>
        <v>0</v>
      </c>
      <c r="Z199" s="157">
        <f t="shared" si="87"/>
        <v>0</v>
      </c>
      <c r="AA199" s="157">
        <f t="shared" si="87"/>
        <v>0</v>
      </c>
      <c r="AB199" s="157">
        <f t="shared" si="87"/>
        <v>0</v>
      </c>
      <c r="AC199" s="157">
        <f t="shared" si="87"/>
        <v>0.16308563705021129</v>
      </c>
      <c r="AD199" s="157">
        <f t="shared" si="87"/>
        <v>0.3233122372192006</v>
      </c>
      <c r="AE199" s="157">
        <f t="shared" si="87"/>
        <v>0.49074552938303162</v>
      </c>
      <c r="AF199" s="157">
        <f t="shared" si="87"/>
        <v>0.66375415389826964</v>
      </c>
      <c r="AG199" s="157">
        <f t="shared" si="87"/>
        <v>0.84173862784603271</v>
      </c>
      <c r="AH199" s="157">
        <f t="shared" si="87"/>
        <v>1.0229957855550831</v>
      </c>
      <c r="AI199" s="157">
        <f t="shared" si="87"/>
        <v>1.2069470977905539</v>
      </c>
      <c r="AJ199" s="157">
        <f t="shared" si="87"/>
        <v>1.3910050422545865</v>
      </c>
      <c r="AK199" s="157">
        <f t="shared" si="87"/>
        <v>1.5778929779223649</v>
      </c>
      <c r="AL199" s="157">
        <f t="shared" si="87"/>
        <v>1.7700045192017828</v>
      </c>
      <c r="AM199" s="157">
        <f t="shared" si="87"/>
        <v>1.7700045192017828</v>
      </c>
      <c r="AN199" s="157">
        <f t="shared" si="88"/>
        <v>1.7700045192017828</v>
      </c>
      <c r="AO199" s="157">
        <f t="shared" si="88"/>
        <v>1.7700045192017828</v>
      </c>
      <c r="AP199" s="157">
        <f t="shared" si="88"/>
        <v>1.7700045192017828</v>
      </c>
      <c r="AQ199" s="157">
        <f t="shared" si="88"/>
        <v>1.7700045192017828</v>
      </c>
      <c r="AR199" s="157">
        <f t="shared" si="88"/>
        <v>1.7700045192017828</v>
      </c>
      <c r="AS199" s="157">
        <f t="shared" si="88"/>
        <v>1.7700045192017828</v>
      </c>
      <c r="AT199" s="157">
        <f t="shared" si="88"/>
        <v>1.7700045192017828</v>
      </c>
      <c r="AU199" s="157">
        <f t="shared" si="88"/>
        <v>1.7700045192017828</v>
      </c>
      <c r="AV199" s="157">
        <f t="shared" si="88"/>
        <v>1.7700045192017828</v>
      </c>
    </row>
    <row r="200" spans="1:48">
      <c r="A200" s="185" t="s">
        <v>16</v>
      </c>
      <c r="B200" s="87" t="str">
        <f t="shared" si="85"/>
        <v>CNL</v>
      </c>
      <c r="C200" s="87" t="str">
        <f t="shared" si="85"/>
        <v>Commercial - Lighting</v>
      </c>
      <c r="E200" s="106"/>
      <c r="F200" s="106"/>
      <c r="I200" s="155"/>
      <c r="J200" s="157">
        <f t="shared" si="86"/>
        <v>0</v>
      </c>
      <c r="K200" s="157">
        <f t="shared" si="86"/>
        <v>0</v>
      </c>
      <c r="L200" s="157">
        <f t="shared" si="86"/>
        <v>0</v>
      </c>
      <c r="M200" s="157">
        <f t="shared" si="86"/>
        <v>0</v>
      </c>
      <c r="N200" s="157">
        <f t="shared" si="86"/>
        <v>0</v>
      </c>
      <c r="O200" s="157">
        <f t="shared" si="86"/>
        <v>0</v>
      </c>
      <c r="P200" s="157">
        <f t="shared" si="86"/>
        <v>0</v>
      </c>
      <c r="Q200" s="157">
        <f t="shared" si="86"/>
        <v>0</v>
      </c>
      <c r="R200" s="157">
        <f t="shared" si="86"/>
        <v>0</v>
      </c>
      <c r="S200" s="157">
        <f t="shared" si="86"/>
        <v>0</v>
      </c>
      <c r="T200" s="157">
        <f t="shared" si="86"/>
        <v>0</v>
      </c>
      <c r="U200" s="157">
        <f t="shared" si="86"/>
        <v>0</v>
      </c>
      <c r="V200" s="157">
        <f t="shared" si="86"/>
        <v>0</v>
      </c>
      <c r="W200" s="157">
        <f t="shared" si="86"/>
        <v>0</v>
      </c>
      <c r="X200" s="157">
        <f t="shared" si="86"/>
        <v>0</v>
      </c>
      <c r="Y200" s="157">
        <f t="shared" si="86"/>
        <v>0</v>
      </c>
      <c r="Z200" s="157">
        <f t="shared" si="87"/>
        <v>0</v>
      </c>
      <c r="AA200" s="157">
        <f t="shared" si="87"/>
        <v>0</v>
      </c>
      <c r="AB200" s="157">
        <f t="shared" si="87"/>
        <v>0</v>
      </c>
      <c r="AC200" s="157">
        <f t="shared" si="87"/>
        <v>1.9896800738311233</v>
      </c>
      <c r="AD200" s="157">
        <f t="shared" si="87"/>
        <v>3.9444792788389282</v>
      </c>
      <c r="AE200" s="157">
        <f t="shared" si="87"/>
        <v>5.987201686157678</v>
      </c>
      <c r="AF200" s="157">
        <f t="shared" si="87"/>
        <v>8.0979443550103412</v>
      </c>
      <c r="AG200" s="157">
        <f t="shared" si="87"/>
        <v>10.269393464021379</v>
      </c>
      <c r="AH200" s="157">
        <f t="shared" si="87"/>
        <v>12.480770023331299</v>
      </c>
      <c r="AI200" s="157">
        <f t="shared" si="87"/>
        <v>14.725015851045223</v>
      </c>
      <c r="AJ200" s="157">
        <f t="shared" si="87"/>
        <v>16.970562615029404</v>
      </c>
      <c r="AK200" s="157">
        <f t="shared" si="87"/>
        <v>19.250635884284417</v>
      </c>
      <c r="AL200" s="157">
        <f t="shared" si="87"/>
        <v>21.594438272712761</v>
      </c>
      <c r="AM200" s="157">
        <f t="shared" si="87"/>
        <v>21.594438272712761</v>
      </c>
      <c r="AN200" s="157">
        <f t="shared" si="88"/>
        <v>21.594438272712761</v>
      </c>
      <c r="AO200" s="157">
        <f t="shared" si="88"/>
        <v>21.594438272712761</v>
      </c>
      <c r="AP200" s="157">
        <f t="shared" si="88"/>
        <v>21.594438272712761</v>
      </c>
      <c r="AQ200" s="157">
        <f t="shared" si="88"/>
        <v>21.594438272712761</v>
      </c>
      <c r="AR200" s="157">
        <f t="shared" si="88"/>
        <v>21.594438272712761</v>
      </c>
      <c r="AS200" s="157">
        <f t="shared" si="88"/>
        <v>21.594438272712761</v>
      </c>
      <c r="AT200" s="157">
        <f t="shared" si="88"/>
        <v>21.594438272712761</v>
      </c>
      <c r="AU200" s="157">
        <f t="shared" si="88"/>
        <v>21.594438272712761</v>
      </c>
      <c r="AV200" s="157">
        <f t="shared" si="88"/>
        <v>21.594438272712761</v>
      </c>
    </row>
    <row r="201" spans="1:48">
      <c r="A201" s="185" t="s">
        <v>16</v>
      </c>
      <c r="B201" s="87" t="str">
        <f t="shared" si="85"/>
        <v>CNR</v>
      </c>
      <c r="C201" s="87" t="str">
        <f t="shared" si="85"/>
        <v>Commercial - Refrigeration</v>
      </c>
      <c r="E201" s="106"/>
      <c r="F201" s="106"/>
      <c r="I201" s="155"/>
      <c r="J201" s="157">
        <f t="shared" si="86"/>
        <v>0</v>
      </c>
      <c r="K201" s="157">
        <f t="shared" si="86"/>
        <v>0</v>
      </c>
      <c r="L201" s="157">
        <f t="shared" si="86"/>
        <v>0</v>
      </c>
      <c r="M201" s="157">
        <f t="shared" si="86"/>
        <v>0</v>
      </c>
      <c r="N201" s="157">
        <f t="shared" si="86"/>
        <v>0</v>
      </c>
      <c r="O201" s="157">
        <f t="shared" si="86"/>
        <v>0</v>
      </c>
      <c r="P201" s="157">
        <f t="shared" si="86"/>
        <v>0</v>
      </c>
      <c r="Q201" s="157">
        <f t="shared" si="86"/>
        <v>0</v>
      </c>
      <c r="R201" s="157">
        <f t="shared" si="86"/>
        <v>0</v>
      </c>
      <c r="S201" s="157">
        <f t="shared" si="86"/>
        <v>0</v>
      </c>
      <c r="T201" s="157">
        <f t="shared" si="86"/>
        <v>0</v>
      </c>
      <c r="U201" s="157">
        <f t="shared" si="86"/>
        <v>0</v>
      </c>
      <c r="V201" s="157">
        <f t="shared" si="86"/>
        <v>0</v>
      </c>
      <c r="W201" s="157">
        <f t="shared" si="86"/>
        <v>0</v>
      </c>
      <c r="X201" s="157">
        <f t="shared" si="86"/>
        <v>0</v>
      </c>
      <c r="Y201" s="157">
        <f t="shared" si="86"/>
        <v>0</v>
      </c>
      <c r="Z201" s="157">
        <f t="shared" si="87"/>
        <v>0</v>
      </c>
      <c r="AA201" s="157">
        <f t="shared" si="87"/>
        <v>0</v>
      </c>
      <c r="AB201" s="157">
        <f t="shared" si="87"/>
        <v>0</v>
      </c>
      <c r="AC201" s="157">
        <f t="shared" si="87"/>
        <v>0.4840178227296143</v>
      </c>
      <c r="AD201" s="157">
        <f t="shared" si="87"/>
        <v>0.95955038071499665</v>
      </c>
      <c r="AE201" s="157">
        <f t="shared" si="87"/>
        <v>1.4564715013691585</v>
      </c>
      <c r="AF201" s="157">
        <f t="shared" si="87"/>
        <v>1.969939512813532</v>
      </c>
      <c r="AG201" s="157">
        <f t="shared" si="87"/>
        <v>2.4981752245417739</v>
      </c>
      <c r="AH201" s="157">
        <f t="shared" si="87"/>
        <v>3.0361238533439634</v>
      </c>
      <c r="AI201" s="157">
        <f t="shared" si="87"/>
        <v>3.5820683966335456</v>
      </c>
      <c r="AJ201" s="157">
        <f t="shared" si="87"/>
        <v>4.128329411073099</v>
      </c>
      <c r="AK201" s="157">
        <f t="shared" si="87"/>
        <v>4.6829894863101362</v>
      </c>
      <c r="AL201" s="157">
        <f t="shared" si="87"/>
        <v>5.2531525712583571</v>
      </c>
      <c r="AM201" s="157">
        <f t="shared" si="87"/>
        <v>5.2531525712583571</v>
      </c>
      <c r="AN201" s="157">
        <f t="shared" si="88"/>
        <v>5.2531525712583571</v>
      </c>
      <c r="AO201" s="157">
        <f t="shared" si="88"/>
        <v>5.2531525712583571</v>
      </c>
      <c r="AP201" s="157">
        <f t="shared" si="88"/>
        <v>5.2531525712583571</v>
      </c>
      <c r="AQ201" s="157">
        <f t="shared" si="88"/>
        <v>5.2531525712583571</v>
      </c>
      <c r="AR201" s="157">
        <f t="shared" si="88"/>
        <v>5.2531525712583571</v>
      </c>
      <c r="AS201" s="157">
        <f t="shared" si="88"/>
        <v>5.2531525712583571</v>
      </c>
      <c r="AT201" s="157">
        <f t="shared" si="88"/>
        <v>5.2531525712583571</v>
      </c>
      <c r="AU201" s="157">
        <f t="shared" si="88"/>
        <v>5.2531525712583571</v>
      </c>
      <c r="AV201" s="157">
        <f t="shared" si="88"/>
        <v>5.2531525712583571</v>
      </c>
    </row>
    <row r="202" spans="1:48">
      <c r="A202" s="185" t="s">
        <v>16</v>
      </c>
      <c r="B202" s="87" t="str">
        <f t="shared" si="85"/>
        <v>CNW</v>
      </c>
      <c r="C202" s="87" t="str">
        <f t="shared" si="85"/>
        <v>Commercial - Water Heating</v>
      </c>
      <c r="E202" s="106"/>
      <c r="F202" s="106"/>
      <c r="I202" s="155"/>
      <c r="J202" s="157">
        <f t="shared" si="86"/>
        <v>0</v>
      </c>
      <c r="K202" s="157">
        <f t="shared" si="86"/>
        <v>0</v>
      </c>
      <c r="L202" s="157">
        <f t="shared" si="86"/>
        <v>0</v>
      </c>
      <c r="M202" s="157">
        <f t="shared" si="86"/>
        <v>0</v>
      </c>
      <c r="N202" s="157">
        <f t="shared" si="86"/>
        <v>0</v>
      </c>
      <c r="O202" s="157">
        <f t="shared" si="86"/>
        <v>0</v>
      </c>
      <c r="P202" s="157">
        <f t="shared" si="86"/>
        <v>0</v>
      </c>
      <c r="Q202" s="157">
        <f t="shared" si="86"/>
        <v>0</v>
      </c>
      <c r="R202" s="157">
        <f t="shared" si="86"/>
        <v>0</v>
      </c>
      <c r="S202" s="157">
        <f t="shared" si="86"/>
        <v>0</v>
      </c>
      <c r="T202" s="157">
        <f t="shared" si="86"/>
        <v>0</v>
      </c>
      <c r="U202" s="157">
        <f t="shared" si="86"/>
        <v>0</v>
      </c>
      <c r="V202" s="157">
        <f t="shared" si="86"/>
        <v>0</v>
      </c>
      <c r="W202" s="157">
        <f t="shared" si="86"/>
        <v>0</v>
      </c>
      <c r="X202" s="157">
        <f t="shared" si="86"/>
        <v>0</v>
      </c>
      <c r="Y202" s="157">
        <f t="shared" si="86"/>
        <v>0</v>
      </c>
      <c r="Z202" s="157">
        <f t="shared" si="87"/>
        <v>0</v>
      </c>
      <c r="AA202" s="157">
        <f t="shared" si="87"/>
        <v>0</v>
      </c>
      <c r="AB202" s="157">
        <f t="shared" si="87"/>
        <v>0</v>
      </c>
      <c r="AC202" s="157">
        <f t="shared" si="87"/>
        <v>0.25231354086876695</v>
      </c>
      <c r="AD202" s="157">
        <f t="shared" si="87"/>
        <v>0.50020380000639397</v>
      </c>
      <c r="AE202" s="157">
        <f t="shared" si="87"/>
        <v>0.7592436981193359</v>
      </c>
      <c r="AF202" s="157">
        <f t="shared" si="87"/>
        <v>1.0269093211737734</v>
      </c>
      <c r="AG202" s="157">
        <f t="shared" si="87"/>
        <v>1.3022731953547872</v>
      </c>
      <c r="AH202" s="157">
        <f t="shared" si="87"/>
        <v>1.5827003138710447</v>
      </c>
      <c r="AI202" s="157">
        <f t="shared" si="87"/>
        <v>1.8672956208342075</v>
      </c>
      <c r="AJ202" s="157">
        <f t="shared" si="87"/>
        <v>2.1520559009712543</v>
      </c>
      <c r="AK202" s="157">
        <f t="shared" si="87"/>
        <v>2.4411945256036214</v>
      </c>
      <c r="AL202" s="157">
        <f t="shared" si="87"/>
        <v>2.738414710646909</v>
      </c>
      <c r="AM202" s="157">
        <f t="shared" si="87"/>
        <v>2.738414710646909</v>
      </c>
      <c r="AN202" s="157">
        <f t="shared" si="88"/>
        <v>2.738414710646909</v>
      </c>
      <c r="AO202" s="157">
        <f t="shared" si="88"/>
        <v>2.738414710646909</v>
      </c>
      <c r="AP202" s="157">
        <f t="shared" si="88"/>
        <v>2.738414710646909</v>
      </c>
      <c r="AQ202" s="157">
        <f t="shared" si="88"/>
        <v>2.738414710646909</v>
      </c>
      <c r="AR202" s="157">
        <f t="shared" si="88"/>
        <v>2.738414710646909</v>
      </c>
      <c r="AS202" s="157">
        <f t="shared" si="88"/>
        <v>2.738414710646909</v>
      </c>
      <c r="AT202" s="157">
        <f t="shared" si="88"/>
        <v>2.738414710646909</v>
      </c>
      <c r="AU202" s="157">
        <f t="shared" si="88"/>
        <v>2.738414710646909</v>
      </c>
      <c r="AV202" s="157">
        <f t="shared" si="88"/>
        <v>2.738414710646909</v>
      </c>
    </row>
    <row r="203" spans="1:48">
      <c r="A203" s="185" t="s">
        <v>16</v>
      </c>
      <c r="B203" s="87" t="str">
        <f t="shared" si="85"/>
        <v>CNG</v>
      </c>
      <c r="C203" s="87" t="str">
        <f t="shared" si="85"/>
        <v>Commercial - Public lights</v>
      </c>
      <c r="E203" s="106"/>
      <c r="F203" s="106"/>
      <c r="I203" s="155"/>
      <c r="J203" s="157">
        <f t="shared" si="86"/>
        <v>0</v>
      </c>
      <c r="K203" s="157">
        <f t="shared" si="86"/>
        <v>0</v>
      </c>
      <c r="L203" s="157">
        <f t="shared" si="86"/>
        <v>0</v>
      </c>
      <c r="M203" s="157">
        <f t="shared" si="86"/>
        <v>0</v>
      </c>
      <c r="N203" s="157">
        <f t="shared" si="86"/>
        <v>0</v>
      </c>
      <c r="O203" s="157">
        <f t="shared" si="86"/>
        <v>0</v>
      </c>
      <c r="P203" s="157">
        <f t="shared" si="86"/>
        <v>0</v>
      </c>
      <c r="Q203" s="157">
        <f t="shared" si="86"/>
        <v>0</v>
      </c>
      <c r="R203" s="157">
        <f t="shared" si="86"/>
        <v>0</v>
      </c>
      <c r="S203" s="157">
        <f t="shared" si="86"/>
        <v>0</v>
      </c>
      <c r="T203" s="157">
        <f t="shared" si="86"/>
        <v>0</v>
      </c>
      <c r="U203" s="157">
        <f t="shared" si="86"/>
        <v>0</v>
      </c>
      <c r="V203" s="157">
        <f t="shared" si="86"/>
        <v>0</v>
      </c>
      <c r="W203" s="157">
        <f t="shared" si="86"/>
        <v>0</v>
      </c>
      <c r="X203" s="157">
        <f t="shared" si="86"/>
        <v>0</v>
      </c>
      <c r="Y203" s="157">
        <f t="shared" si="86"/>
        <v>0</v>
      </c>
      <c r="Z203" s="157">
        <f t="shared" si="87"/>
        <v>0</v>
      </c>
      <c r="AA203" s="157">
        <f t="shared" si="87"/>
        <v>0</v>
      </c>
      <c r="AB203" s="157">
        <f t="shared" si="87"/>
        <v>0</v>
      </c>
      <c r="AC203" s="157">
        <f t="shared" si="87"/>
        <v>0</v>
      </c>
      <c r="AD203" s="157">
        <f t="shared" si="87"/>
        <v>0</v>
      </c>
      <c r="AE203" s="157">
        <f t="shared" si="87"/>
        <v>0</v>
      </c>
      <c r="AF203" s="157">
        <f t="shared" si="87"/>
        <v>0</v>
      </c>
      <c r="AG203" s="157">
        <f t="shared" si="87"/>
        <v>0</v>
      </c>
      <c r="AH203" s="157">
        <f t="shared" si="87"/>
        <v>0</v>
      </c>
      <c r="AI203" s="157">
        <f t="shared" si="87"/>
        <v>0</v>
      </c>
      <c r="AJ203" s="157">
        <f t="shared" si="87"/>
        <v>0</v>
      </c>
      <c r="AK203" s="157">
        <f t="shared" si="87"/>
        <v>0</v>
      </c>
      <c r="AL203" s="157">
        <f t="shared" si="87"/>
        <v>0</v>
      </c>
      <c r="AM203" s="157">
        <f t="shared" si="87"/>
        <v>0</v>
      </c>
      <c r="AN203" s="157">
        <f t="shared" si="88"/>
        <v>0</v>
      </c>
      <c r="AO203" s="157">
        <f t="shared" si="88"/>
        <v>0</v>
      </c>
      <c r="AP203" s="157">
        <f t="shared" si="88"/>
        <v>0</v>
      </c>
      <c r="AQ203" s="157">
        <f t="shared" si="88"/>
        <v>0</v>
      </c>
      <c r="AR203" s="157">
        <f t="shared" si="88"/>
        <v>0</v>
      </c>
      <c r="AS203" s="157">
        <f t="shared" si="88"/>
        <v>0</v>
      </c>
      <c r="AT203" s="157">
        <f t="shared" si="88"/>
        <v>0</v>
      </c>
      <c r="AU203" s="157">
        <f t="shared" si="88"/>
        <v>0</v>
      </c>
      <c r="AV203" s="157">
        <f t="shared" si="88"/>
        <v>0</v>
      </c>
    </row>
    <row r="204" spans="1:48">
      <c r="A204" s="185" t="s">
        <v>16</v>
      </c>
      <c r="B204" s="87" t="str">
        <f t="shared" si="85"/>
        <v>CNT</v>
      </c>
      <c r="C204" s="87" t="str">
        <f t="shared" si="85"/>
        <v>Commercial - Public Water</v>
      </c>
      <c r="E204" s="106"/>
      <c r="F204" s="106"/>
      <c r="I204" s="155"/>
      <c r="J204" s="157">
        <f t="shared" si="86"/>
        <v>0</v>
      </c>
      <c r="K204" s="157">
        <f t="shared" si="86"/>
        <v>0</v>
      </c>
      <c r="L204" s="157">
        <f t="shared" si="86"/>
        <v>0</v>
      </c>
      <c r="M204" s="157">
        <f t="shared" si="86"/>
        <v>0</v>
      </c>
      <c r="N204" s="157">
        <f t="shared" si="86"/>
        <v>0</v>
      </c>
      <c r="O204" s="157">
        <f t="shared" si="86"/>
        <v>0</v>
      </c>
      <c r="P204" s="157">
        <f t="shared" si="86"/>
        <v>0</v>
      </c>
      <c r="Q204" s="157">
        <f t="shared" si="86"/>
        <v>0</v>
      </c>
      <c r="R204" s="157">
        <f t="shared" si="86"/>
        <v>0</v>
      </c>
      <c r="S204" s="157">
        <f t="shared" si="86"/>
        <v>0</v>
      </c>
      <c r="T204" s="157">
        <f t="shared" si="86"/>
        <v>0</v>
      </c>
      <c r="U204" s="157">
        <f t="shared" si="86"/>
        <v>0</v>
      </c>
      <c r="V204" s="157">
        <f t="shared" si="86"/>
        <v>0</v>
      </c>
      <c r="W204" s="157">
        <f t="shared" si="86"/>
        <v>0</v>
      </c>
      <c r="X204" s="157">
        <f t="shared" si="86"/>
        <v>0</v>
      </c>
      <c r="Y204" s="157">
        <f t="shared" si="86"/>
        <v>0</v>
      </c>
      <c r="Z204" s="157">
        <f t="shared" si="87"/>
        <v>0</v>
      </c>
      <c r="AA204" s="157">
        <f t="shared" si="87"/>
        <v>0</v>
      </c>
      <c r="AB204" s="157">
        <f t="shared" si="87"/>
        <v>0</v>
      </c>
      <c r="AC204" s="157">
        <f t="shared" si="87"/>
        <v>0</v>
      </c>
      <c r="AD204" s="157">
        <f t="shared" si="87"/>
        <v>0</v>
      </c>
      <c r="AE204" s="157">
        <f t="shared" si="87"/>
        <v>0</v>
      </c>
      <c r="AF204" s="157">
        <f t="shared" si="87"/>
        <v>0</v>
      </c>
      <c r="AG204" s="157">
        <f t="shared" si="87"/>
        <v>0</v>
      </c>
      <c r="AH204" s="157">
        <f t="shared" si="87"/>
        <v>0</v>
      </c>
      <c r="AI204" s="157">
        <f t="shared" si="87"/>
        <v>0</v>
      </c>
      <c r="AJ204" s="157">
        <f t="shared" si="87"/>
        <v>0</v>
      </c>
      <c r="AK204" s="157">
        <f t="shared" si="87"/>
        <v>0</v>
      </c>
      <c r="AL204" s="157">
        <f t="shared" si="87"/>
        <v>0</v>
      </c>
      <c r="AM204" s="157">
        <f t="shared" si="87"/>
        <v>0</v>
      </c>
      <c r="AN204" s="157">
        <f t="shared" si="88"/>
        <v>0</v>
      </c>
      <c r="AO204" s="157">
        <f t="shared" si="88"/>
        <v>0</v>
      </c>
      <c r="AP204" s="157">
        <f t="shared" si="88"/>
        <v>0</v>
      </c>
      <c r="AQ204" s="157">
        <f t="shared" si="88"/>
        <v>0</v>
      </c>
      <c r="AR204" s="157">
        <f t="shared" si="88"/>
        <v>0</v>
      </c>
      <c r="AS204" s="157">
        <f t="shared" si="88"/>
        <v>0</v>
      </c>
      <c r="AT204" s="157">
        <f t="shared" si="88"/>
        <v>0</v>
      </c>
      <c r="AU204" s="157">
        <f t="shared" si="88"/>
        <v>0</v>
      </c>
      <c r="AV204" s="157">
        <f t="shared" si="88"/>
        <v>0</v>
      </c>
    </row>
    <row r="205" spans="1:48">
      <c r="A205" s="185" t="s">
        <v>16</v>
      </c>
      <c r="B205" s="87" t="str">
        <f t="shared" si="85"/>
        <v>CNO</v>
      </c>
      <c r="C205" s="87" t="str">
        <f t="shared" si="85"/>
        <v>Commercial - Other</v>
      </c>
      <c r="E205" s="106"/>
      <c r="F205" s="106"/>
      <c r="I205" s="155"/>
      <c r="J205" s="157">
        <f t="shared" si="86"/>
        <v>0</v>
      </c>
      <c r="K205" s="157">
        <f t="shared" si="86"/>
        <v>0</v>
      </c>
      <c r="L205" s="157">
        <f t="shared" si="86"/>
        <v>0</v>
      </c>
      <c r="M205" s="157">
        <f t="shared" si="86"/>
        <v>0</v>
      </c>
      <c r="N205" s="157">
        <f t="shared" si="86"/>
        <v>0</v>
      </c>
      <c r="O205" s="157">
        <f t="shared" si="86"/>
        <v>0</v>
      </c>
      <c r="P205" s="157">
        <f t="shared" si="86"/>
        <v>0</v>
      </c>
      <c r="Q205" s="157">
        <f t="shared" si="86"/>
        <v>0</v>
      </c>
      <c r="R205" s="157">
        <f t="shared" si="86"/>
        <v>0</v>
      </c>
      <c r="S205" s="157">
        <f t="shared" si="86"/>
        <v>0</v>
      </c>
      <c r="T205" s="157">
        <f t="shared" si="86"/>
        <v>0</v>
      </c>
      <c r="U205" s="157">
        <f t="shared" si="86"/>
        <v>0</v>
      </c>
      <c r="V205" s="157">
        <f t="shared" si="86"/>
        <v>0</v>
      </c>
      <c r="W205" s="157">
        <f t="shared" si="86"/>
        <v>0</v>
      </c>
      <c r="X205" s="157">
        <f t="shared" si="86"/>
        <v>0</v>
      </c>
      <c r="Y205" s="157">
        <f t="shared" si="86"/>
        <v>0</v>
      </c>
      <c r="Z205" s="157">
        <f t="shared" si="87"/>
        <v>0</v>
      </c>
      <c r="AA205" s="157">
        <f t="shared" si="87"/>
        <v>0</v>
      </c>
      <c r="AB205" s="157">
        <f t="shared" si="87"/>
        <v>0</v>
      </c>
      <c r="AC205" s="157">
        <f t="shared" si="87"/>
        <v>0.32312668064884442</v>
      </c>
      <c r="AD205" s="157">
        <f t="shared" si="87"/>
        <v>0.64058866197780051</v>
      </c>
      <c r="AE205" s="157">
        <f t="shared" si="87"/>
        <v>0.97232948787499296</v>
      </c>
      <c r="AF205" s="157">
        <f t="shared" si="87"/>
        <v>1.3151168943835094</v>
      </c>
      <c r="AG205" s="157">
        <f t="shared" si="87"/>
        <v>1.6677631072199259</v>
      </c>
      <c r="AH205" s="157">
        <f t="shared" si="87"/>
        <v>2.0268935908954262</v>
      </c>
      <c r="AI205" s="157">
        <f t="shared" si="87"/>
        <v>2.3913620873170123</v>
      </c>
      <c r="AJ205" s="157">
        <f t="shared" si="87"/>
        <v>2.7560418575128449</v>
      </c>
      <c r="AK205" s="157">
        <f t="shared" si="87"/>
        <v>3.1263287779180522</v>
      </c>
      <c r="AL205" s="157">
        <f t="shared" si="87"/>
        <v>3.5069653917287433</v>
      </c>
      <c r="AM205" s="157">
        <f t="shared" si="87"/>
        <v>3.5069653917287433</v>
      </c>
      <c r="AN205" s="157">
        <f t="shared" si="88"/>
        <v>3.5069653917287433</v>
      </c>
      <c r="AO205" s="157">
        <f t="shared" si="88"/>
        <v>3.5069653917287433</v>
      </c>
      <c r="AP205" s="157">
        <f t="shared" si="88"/>
        <v>3.5069653917287433</v>
      </c>
      <c r="AQ205" s="157">
        <f t="shared" si="88"/>
        <v>3.5069653917287433</v>
      </c>
      <c r="AR205" s="157">
        <f t="shared" si="88"/>
        <v>3.5069653917287433</v>
      </c>
      <c r="AS205" s="157">
        <f t="shared" si="88"/>
        <v>3.5069653917287433</v>
      </c>
      <c r="AT205" s="157">
        <f t="shared" si="88"/>
        <v>3.5069653917287433</v>
      </c>
      <c r="AU205" s="157">
        <f t="shared" si="88"/>
        <v>3.5069653917287433</v>
      </c>
      <c r="AV205" s="157">
        <f t="shared" si="88"/>
        <v>3.5069653917287433</v>
      </c>
    </row>
    <row r="206" spans="1:48">
      <c r="A206" s="185" t="s">
        <v>16</v>
      </c>
      <c r="E206" s="106"/>
      <c r="F206" s="106"/>
      <c r="I206" s="155"/>
      <c r="J206" s="157"/>
      <c r="K206" s="157"/>
      <c r="L206" s="157"/>
      <c r="M206" s="157"/>
      <c r="N206" s="157"/>
      <c r="O206" s="157"/>
      <c r="P206" s="157"/>
      <c r="Q206" s="157"/>
      <c r="R206" s="157"/>
      <c r="S206" s="157"/>
      <c r="T206" s="157"/>
      <c r="U206" s="157"/>
      <c r="V206" s="157"/>
      <c r="W206" s="157"/>
      <c r="X206" s="157"/>
      <c r="Y206" s="157"/>
      <c r="Z206" s="157"/>
      <c r="AA206" s="157"/>
      <c r="AB206" s="157"/>
      <c r="AC206" s="157"/>
      <c r="AD206" s="157"/>
      <c r="AE206" s="157"/>
      <c r="AF206" s="157"/>
      <c r="AG206" s="157"/>
      <c r="AH206" s="157"/>
      <c r="AI206" s="157"/>
      <c r="AJ206" s="157"/>
      <c r="AK206" s="157"/>
      <c r="AL206" s="157"/>
      <c r="AM206" s="157"/>
      <c r="AN206" s="157"/>
      <c r="AO206" s="157"/>
      <c r="AP206" s="157"/>
      <c r="AQ206" s="157"/>
      <c r="AR206" s="157"/>
      <c r="AS206" s="157"/>
      <c r="AT206" s="157"/>
      <c r="AU206" s="157"/>
      <c r="AV206" s="157"/>
    </row>
    <row r="207" spans="1:48">
      <c r="A207" s="185" t="s">
        <v>16</v>
      </c>
      <c r="E207" s="106"/>
      <c r="F207" s="106"/>
      <c r="I207" s="155" t="s">
        <v>232</v>
      </c>
      <c r="J207" s="157"/>
      <c r="K207" s="157"/>
      <c r="L207" s="157"/>
      <c r="M207" s="157"/>
      <c r="N207" s="157"/>
      <c r="O207" s="157"/>
      <c r="P207" s="157"/>
      <c r="Q207" s="157"/>
      <c r="R207" s="157"/>
      <c r="S207" s="157"/>
      <c r="T207" s="157"/>
      <c r="U207" s="157"/>
      <c r="V207" s="157"/>
      <c r="W207" s="157"/>
      <c r="X207" s="157"/>
      <c r="Y207" s="157"/>
      <c r="Z207" s="157"/>
      <c r="AA207" s="157"/>
      <c r="AB207" s="157"/>
      <c r="AC207" s="157"/>
      <c r="AD207" s="157"/>
      <c r="AE207" s="157"/>
      <c r="AF207" s="157"/>
      <c r="AG207" s="157"/>
      <c r="AH207" s="157"/>
      <c r="AI207" s="157"/>
      <c r="AJ207" s="157"/>
      <c r="AK207" s="157"/>
      <c r="AL207" s="157"/>
      <c r="AM207" s="157"/>
      <c r="AN207" s="157"/>
      <c r="AO207" s="157"/>
      <c r="AP207" s="157"/>
      <c r="AQ207" s="157"/>
      <c r="AR207" s="157"/>
      <c r="AS207" s="157"/>
      <c r="AT207" s="157"/>
      <c r="AU207" s="157"/>
      <c r="AV207" s="157"/>
    </row>
    <row r="208" spans="1:48">
      <c r="A208" s="185" t="s">
        <v>16</v>
      </c>
      <c r="B208" s="87" t="str">
        <f t="shared" ref="B208:C216" si="89">B197</f>
        <v>CNC</v>
      </c>
      <c r="C208" s="87" t="str">
        <f t="shared" si="89"/>
        <v>Commercial - Cooling</v>
      </c>
      <c r="E208" s="89"/>
      <c r="F208" s="106"/>
      <c r="I208" s="155"/>
      <c r="J208" s="157">
        <f t="shared" ref="J208:Y216" si="90">INDEX(J$49:J$52,MATCH($I$207,$B$49:$B$52,0),1)*INDEX(J$81:J$89,MATCH($B208,$B$81:$B$89,0))*INDEX(J$138:J$146,MATCH($B208,$B$138:$B$146,0))/1000</f>
        <v>0</v>
      </c>
      <c r="K208" s="157">
        <f t="shared" si="90"/>
        <v>0</v>
      </c>
      <c r="L208" s="157">
        <f t="shared" si="90"/>
        <v>0</v>
      </c>
      <c r="M208" s="157">
        <f t="shared" si="90"/>
        <v>0</v>
      </c>
      <c r="N208" s="157">
        <f t="shared" si="90"/>
        <v>0</v>
      </c>
      <c r="O208" s="157">
        <f t="shared" si="90"/>
        <v>0</v>
      </c>
      <c r="P208" s="157">
        <f t="shared" si="90"/>
        <v>0</v>
      </c>
      <c r="Q208" s="157">
        <f t="shared" si="90"/>
        <v>0</v>
      </c>
      <c r="R208" s="157">
        <f t="shared" si="90"/>
        <v>0</v>
      </c>
      <c r="S208" s="157">
        <f t="shared" si="90"/>
        <v>0</v>
      </c>
      <c r="T208" s="157">
        <f t="shared" si="90"/>
        <v>0</v>
      </c>
      <c r="U208" s="157">
        <f t="shared" si="90"/>
        <v>0</v>
      </c>
      <c r="V208" s="157">
        <f t="shared" si="90"/>
        <v>0</v>
      </c>
      <c r="W208" s="157">
        <f t="shared" si="90"/>
        <v>0</v>
      </c>
      <c r="X208" s="157">
        <f t="shared" si="90"/>
        <v>0</v>
      </c>
      <c r="Y208" s="157">
        <f t="shared" si="90"/>
        <v>0</v>
      </c>
      <c r="Z208" s="157">
        <f t="shared" ref="Z208:AO216" si="91">INDEX(Z$49:Z$52,MATCH($I$207,$B$49:$B$52,0),1)*INDEX(Z$81:Z$89,MATCH($B208,$B$81:$B$89,0))*INDEX(Z$138:Z$146,MATCH($B208,$B$138:$B$146,0))/1000</f>
        <v>0</v>
      </c>
      <c r="AA208" s="157">
        <f t="shared" si="91"/>
        <v>0</v>
      </c>
      <c r="AB208" s="157">
        <f t="shared" si="91"/>
        <v>0</v>
      </c>
      <c r="AC208" s="157">
        <f t="shared" si="91"/>
        <v>0</v>
      </c>
      <c r="AD208" s="157">
        <f t="shared" si="91"/>
        <v>0</v>
      </c>
      <c r="AE208" s="157">
        <f t="shared" si="91"/>
        <v>0</v>
      </c>
      <c r="AF208" s="157">
        <f t="shared" si="91"/>
        <v>0</v>
      </c>
      <c r="AG208" s="157">
        <f t="shared" si="91"/>
        <v>0</v>
      </c>
      <c r="AH208" s="157">
        <f t="shared" si="91"/>
        <v>0</v>
      </c>
      <c r="AI208" s="157">
        <f t="shared" si="91"/>
        <v>0</v>
      </c>
      <c r="AJ208" s="157">
        <f t="shared" si="91"/>
        <v>0</v>
      </c>
      <c r="AK208" s="157">
        <f t="shared" si="91"/>
        <v>0</v>
      </c>
      <c r="AL208" s="157">
        <f t="shared" si="91"/>
        <v>0</v>
      </c>
      <c r="AM208" s="157">
        <f t="shared" si="91"/>
        <v>2.8377992551634539</v>
      </c>
      <c r="AN208" s="157">
        <f t="shared" si="91"/>
        <v>5.6389029958893779</v>
      </c>
      <c r="AO208" s="157">
        <f t="shared" si="91"/>
        <v>8.4052222177922875</v>
      </c>
      <c r="AP208" s="157">
        <f t="shared" ref="AN208:AV216" si="92">INDEX(AP$49:AP$52,MATCH($I$207,$B$49:$B$52,0),1)*INDEX(AP$81:AP$89,MATCH($B208,$B$81:$B$89,0))*INDEX(AP$138:AP$146,MATCH($B208,$B$138:$B$146,0))/1000</f>
        <v>11.138509763127002</v>
      </c>
      <c r="AQ208" s="157">
        <f t="shared" si="92"/>
        <v>13.840377957772807</v>
      </c>
      <c r="AR208" s="157">
        <f t="shared" si="92"/>
        <v>16.948825232199447</v>
      </c>
      <c r="AS208" s="157">
        <f t="shared" si="92"/>
        <v>20.012901009379924</v>
      </c>
      <c r="AT208" s="157">
        <f t="shared" si="92"/>
        <v>23.035046885107452</v>
      </c>
      <c r="AU208" s="157">
        <f t="shared" si="92"/>
        <v>26.017491337174022</v>
      </c>
      <c r="AV208" s="157">
        <f t="shared" si="92"/>
        <v>29.104447128774524</v>
      </c>
    </row>
    <row r="209" spans="1:48">
      <c r="A209" s="185" t="s">
        <v>16</v>
      </c>
      <c r="B209" s="87" t="str">
        <f t="shared" si="89"/>
        <v>CNH</v>
      </c>
      <c r="C209" s="87" t="str">
        <f t="shared" si="89"/>
        <v>Commercial - Space Heating</v>
      </c>
      <c r="E209" s="106"/>
      <c r="F209" s="106"/>
      <c r="I209" s="155"/>
      <c r="J209" s="157">
        <f t="shared" si="90"/>
        <v>0</v>
      </c>
      <c r="K209" s="157">
        <f t="shared" si="90"/>
        <v>0</v>
      </c>
      <c r="L209" s="157">
        <f t="shared" si="90"/>
        <v>0</v>
      </c>
      <c r="M209" s="157">
        <f t="shared" si="90"/>
        <v>0</v>
      </c>
      <c r="N209" s="157">
        <f t="shared" si="90"/>
        <v>0</v>
      </c>
      <c r="O209" s="157">
        <f t="shared" si="90"/>
        <v>0</v>
      </c>
      <c r="P209" s="157">
        <f t="shared" si="90"/>
        <v>0</v>
      </c>
      <c r="Q209" s="157">
        <f t="shared" si="90"/>
        <v>0</v>
      </c>
      <c r="R209" s="157">
        <f t="shared" si="90"/>
        <v>0</v>
      </c>
      <c r="S209" s="157">
        <f t="shared" si="90"/>
        <v>0</v>
      </c>
      <c r="T209" s="157">
        <f t="shared" si="90"/>
        <v>0</v>
      </c>
      <c r="U209" s="157">
        <f t="shared" si="90"/>
        <v>0</v>
      </c>
      <c r="V209" s="157">
        <f t="shared" si="90"/>
        <v>0</v>
      </c>
      <c r="W209" s="157">
        <f t="shared" si="90"/>
        <v>0</v>
      </c>
      <c r="X209" s="157">
        <f t="shared" si="90"/>
        <v>0</v>
      </c>
      <c r="Y209" s="157">
        <f t="shared" si="90"/>
        <v>0</v>
      </c>
      <c r="Z209" s="157">
        <f t="shared" si="91"/>
        <v>0</v>
      </c>
      <c r="AA209" s="157">
        <f t="shared" si="91"/>
        <v>0</v>
      </c>
      <c r="AB209" s="157">
        <f t="shared" si="91"/>
        <v>0</v>
      </c>
      <c r="AC209" s="157">
        <f t="shared" si="91"/>
        <v>0</v>
      </c>
      <c r="AD209" s="157">
        <f t="shared" si="91"/>
        <v>0</v>
      </c>
      <c r="AE209" s="157">
        <f t="shared" si="91"/>
        <v>0</v>
      </c>
      <c r="AF209" s="157">
        <f t="shared" si="91"/>
        <v>0</v>
      </c>
      <c r="AG209" s="157">
        <f t="shared" si="91"/>
        <v>0</v>
      </c>
      <c r="AH209" s="157">
        <f t="shared" si="91"/>
        <v>0</v>
      </c>
      <c r="AI209" s="157">
        <f t="shared" si="91"/>
        <v>0</v>
      </c>
      <c r="AJ209" s="157">
        <f t="shared" si="91"/>
        <v>0</v>
      </c>
      <c r="AK209" s="157">
        <f t="shared" si="91"/>
        <v>0</v>
      </c>
      <c r="AL209" s="157">
        <f t="shared" si="91"/>
        <v>0</v>
      </c>
      <c r="AM209" s="157">
        <f t="shared" si="91"/>
        <v>0.27063052346926103</v>
      </c>
      <c r="AN209" s="157">
        <f t="shared" si="92"/>
        <v>0.53776153009879746</v>
      </c>
      <c r="AO209" s="157">
        <f t="shared" si="92"/>
        <v>0.80157526454265327</v>
      </c>
      <c r="AP209" s="157">
        <f t="shared" si="92"/>
        <v>1.0622388889480869</v>
      </c>
      <c r="AQ209" s="157">
        <f t="shared" si="92"/>
        <v>1.3199061649301667</v>
      </c>
      <c r="AR209" s="157">
        <f t="shared" si="92"/>
        <v>1.6163473989336001</v>
      </c>
      <c r="AS209" s="157">
        <f t="shared" si="92"/>
        <v>1.9085570857248784</v>
      </c>
      <c r="AT209" s="157">
        <f t="shared" si="92"/>
        <v>2.196768071354128</v>
      </c>
      <c r="AU209" s="157">
        <f t="shared" si="92"/>
        <v>2.4811928775880974</v>
      </c>
      <c r="AV209" s="157">
        <f t="shared" si="92"/>
        <v>2.7755845475722358</v>
      </c>
    </row>
    <row r="210" spans="1:48">
      <c r="A210" s="185" t="s">
        <v>16</v>
      </c>
      <c r="B210" s="87" t="str">
        <f t="shared" si="89"/>
        <v>CNK</v>
      </c>
      <c r="C210" s="87" t="str">
        <f t="shared" si="89"/>
        <v>Commercial - Cooking</v>
      </c>
      <c r="E210" s="106"/>
      <c r="F210" s="106"/>
      <c r="I210" s="155"/>
      <c r="J210" s="157">
        <f t="shared" si="90"/>
        <v>0</v>
      </c>
      <c r="K210" s="157">
        <f t="shared" si="90"/>
        <v>0</v>
      </c>
      <c r="L210" s="157">
        <f t="shared" si="90"/>
        <v>0</v>
      </c>
      <c r="M210" s="157">
        <f t="shared" si="90"/>
        <v>0</v>
      </c>
      <c r="N210" s="157">
        <f t="shared" si="90"/>
        <v>0</v>
      </c>
      <c r="O210" s="157">
        <f t="shared" si="90"/>
        <v>0</v>
      </c>
      <c r="P210" s="157">
        <f t="shared" si="90"/>
        <v>0</v>
      </c>
      <c r="Q210" s="157">
        <f t="shared" si="90"/>
        <v>0</v>
      </c>
      <c r="R210" s="157">
        <f t="shared" si="90"/>
        <v>0</v>
      </c>
      <c r="S210" s="157">
        <f t="shared" si="90"/>
        <v>0</v>
      </c>
      <c r="T210" s="157">
        <f t="shared" si="90"/>
        <v>0</v>
      </c>
      <c r="U210" s="157">
        <f t="shared" si="90"/>
        <v>0</v>
      </c>
      <c r="V210" s="157">
        <f t="shared" si="90"/>
        <v>0</v>
      </c>
      <c r="W210" s="157">
        <f t="shared" si="90"/>
        <v>0</v>
      </c>
      <c r="X210" s="157">
        <f t="shared" si="90"/>
        <v>0</v>
      </c>
      <c r="Y210" s="157">
        <f t="shared" si="90"/>
        <v>0</v>
      </c>
      <c r="Z210" s="157">
        <f t="shared" si="91"/>
        <v>0</v>
      </c>
      <c r="AA210" s="157">
        <f t="shared" si="91"/>
        <v>0</v>
      </c>
      <c r="AB210" s="157">
        <f t="shared" si="91"/>
        <v>0</v>
      </c>
      <c r="AC210" s="157">
        <f t="shared" si="91"/>
        <v>0</v>
      </c>
      <c r="AD210" s="157">
        <f t="shared" si="91"/>
        <v>0</v>
      </c>
      <c r="AE210" s="157">
        <f t="shared" si="91"/>
        <v>0</v>
      </c>
      <c r="AF210" s="157">
        <f t="shared" si="91"/>
        <v>0</v>
      </c>
      <c r="AG210" s="157">
        <f t="shared" si="91"/>
        <v>0</v>
      </c>
      <c r="AH210" s="157">
        <f t="shared" si="91"/>
        <v>0</v>
      </c>
      <c r="AI210" s="157">
        <f t="shared" si="91"/>
        <v>0</v>
      </c>
      <c r="AJ210" s="157">
        <f t="shared" si="91"/>
        <v>0</v>
      </c>
      <c r="AK210" s="157">
        <f t="shared" si="91"/>
        <v>0</v>
      </c>
      <c r="AL210" s="157">
        <f t="shared" si="91"/>
        <v>0</v>
      </c>
      <c r="AM210" s="157">
        <f t="shared" si="91"/>
        <v>0.20241776970468098</v>
      </c>
      <c r="AN210" s="157">
        <f t="shared" si="92"/>
        <v>0.4022180800605038</v>
      </c>
      <c r="AO210" s="157">
        <f t="shared" si="92"/>
        <v>0.59953724073401737</v>
      </c>
      <c r="AP210" s="157">
        <f t="shared" si="92"/>
        <v>0.79450028044923082</v>
      </c>
      <c r="AQ210" s="157">
        <f t="shared" si="92"/>
        <v>0.9872222050184567</v>
      </c>
      <c r="AR210" s="157">
        <f t="shared" si="92"/>
        <v>1.208945064163331</v>
      </c>
      <c r="AS210" s="157">
        <f t="shared" si="92"/>
        <v>1.4275029427357826</v>
      </c>
      <c r="AT210" s="157">
        <f t="shared" si="92"/>
        <v>1.6430699976547998</v>
      </c>
      <c r="AU210" s="157">
        <f t="shared" si="92"/>
        <v>1.8558051843164241</v>
      </c>
      <c r="AV210" s="157">
        <f t="shared" si="92"/>
        <v>2.0759950745547071</v>
      </c>
    </row>
    <row r="211" spans="1:48">
      <c r="A211" s="185" t="s">
        <v>16</v>
      </c>
      <c r="B211" s="87" t="str">
        <f t="shared" si="89"/>
        <v>CNL</v>
      </c>
      <c r="C211" s="87" t="str">
        <f t="shared" si="89"/>
        <v>Commercial - Lighting</v>
      </c>
      <c r="E211" s="106"/>
      <c r="F211" s="106"/>
      <c r="I211" s="155"/>
      <c r="J211" s="157">
        <f t="shared" si="90"/>
        <v>0</v>
      </c>
      <c r="K211" s="157">
        <f t="shared" si="90"/>
        <v>0</v>
      </c>
      <c r="L211" s="157">
        <f t="shared" si="90"/>
        <v>0</v>
      </c>
      <c r="M211" s="157">
        <f t="shared" si="90"/>
        <v>0</v>
      </c>
      <c r="N211" s="157">
        <f t="shared" si="90"/>
        <v>0</v>
      </c>
      <c r="O211" s="157">
        <f t="shared" si="90"/>
        <v>0</v>
      </c>
      <c r="P211" s="157">
        <f t="shared" si="90"/>
        <v>0</v>
      </c>
      <c r="Q211" s="157">
        <f t="shared" si="90"/>
        <v>0</v>
      </c>
      <c r="R211" s="157">
        <f t="shared" si="90"/>
        <v>0</v>
      </c>
      <c r="S211" s="157">
        <f t="shared" si="90"/>
        <v>0</v>
      </c>
      <c r="T211" s="157">
        <f t="shared" si="90"/>
        <v>0</v>
      </c>
      <c r="U211" s="157">
        <f t="shared" si="90"/>
        <v>0</v>
      </c>
      <c r="V211" s="157">
        <f t="shared" si="90"/>
        <v>0</v>
      </c>
      <c r="W211" s="157">
        <f t="shared" si="90"/>
        <v>0</v>
      </c>
      <c r="X211" s="157">
        <f t="shared" si="90"/>
        <v>0</v>
      </c>
      <c r="Y211" s="157">
        <f t="shared" si="90"/>
        <v>0</v>
      </c>
      <c r="Z211" s="157">
        <f t="shared" si="91"/>
        <v>0</v>
      </c>
      <c r="AA211" s="157">
        <f t="shared" si="91"/>
        <v>0</v>
      </c>
      <c r="AB211" s="157">
        <f t="shared" si="91"/>
        <v>0</v>
      </c>
      <c r="AC211" s="157">
        <f t="shared" si="91"/>
        <v>0</v>
      </c>
      <c r="AD211" s="157">
        <f t="shared" si="91"/>
        <v>0</v>
      </c>
      <c r="AE211" s="157">
        <f t="shared" si="91"/>
        <v>0</v>
      </c>
      <c r="AF211" s="157">
        <f t="shared" si="91"/>
        <v>0</v>
      </c>
      <c r="AG211" s="157">
        <f t="shared" si="91"/>
        <v>0</v>
      </c>
      <c r="AH211" s="157">
        <f t="shared" si="91"/>
        <v>0</v>
      </c>
      <c r="AI211" s="157">
        <f t="shared" si="91"/>
        <v>0</v>
      </c>
      <c r="AJ211" s="157">
        <f t="shared" si="91"/>
        <v>0</v>
      </c>
      <c r="AK211" s="157">
        <f t="shared" si="91"/>
        <v>0</v>
      </c>
      <c r="AL211" s="157">
        <f t="shared" si="91"/>
        <v>0</v>
      </c>
      <c r="AM211" s="157">
        <f t="shared" si="91"/>
        <v>2.4695406061218139</v>
      </c>
      <c r="AN211" s="157">
        <f t="shared" si="92"/>
        <v>4.9071476416074677</v>
      </c>
      <c r="AO211" s="157">
        <f t="shared" si="92"/>
        <v>7.3144841138947019</v>
      </c>
      <c r="AP211" s="157">
        <f t="shared" si="92"/>
        <v>9.6930754004803727</v>
      </c>
      <c r="AQ211" s="157">
        <f t="shared" si="92"/>
        <v>12.044324597169071</v>
      </c>
      <c r="AR211" s="157">
        <f t="shared" si="92"/>
        <v>14.749391473276596</v>
      </c>
      <c r="AS211" s="157">
        <f t="shared" si="92"/>
        <v>17.415844901303025</v>
      </c>
      <c r="AT211" s="157">
        <f t="shared" si="92"/>
        <v>20.045809633358331</v>
      </c>
      <c r="AU211" s="157">
        <f t="shared" si="92"/>
        <v>22.641224959681995</v>
      </c>
      <c r="AV211" s="157">
        <f t="shared" si="92"/>
        <v>25.327589283299833</v>
      </c>
    </row>
    <row r="212" spans="1:48">
      <c r="A212" s="185" t="s">
        <v>16</v>
      </c>
      <c r="B212" s="87" t="str">
        <f t="shared" si="89"/>
        <v>CNR</v>
      </c>
      <c r="C212" s="87" t="str">
        <f t="shared" si="89"/>
        <v>Commercial - Refrigeration</v>
      </c>
      <c r="E212" s="106"/>
      <c r="F212" s="106"/>
      <c r="I212" s="155"/>
      <c r="J212" s="157">
        <f t="shared" si="90"/>
        <v>0</v>
      </c>
      <c r="K212" s="157">
        <f t="shared" si="90"/>
        <v>0</v>
      </c>
      <c r="L212" s="157">
        <f t="shared" si="90"/>
        <v>0</v>
      </c>
      <c r="M212" s="157">
        <f t="shared" si="90"/>
        <v>0</v>
      </c>
      <c r="N212" s="157">
        <f t="shared" si="90"/>
        <v>0</v>
      </c>
      <c r="O212" s="157">
        <f t="shared" si="90"/>
        <v>0</v>
      </c>
      <c r="P212" s="157">
        <f t="shared" si="90"/>
        <v>0</v>
      </c>
      <c r="Q212" s="157">
        <f t="shared" si="90"/>
        <v>0</v>
      </c>
      <c r="R212" s="157">
        <f t="shared" si="90"/>
        <v>0</v>
      </c>
      <c r="S212" s="157">
        <f t="shared" si="90"/>
        <v>0</v>
      </c>
      <c r="T212" s="157">
        <f t="shared" si="90"/>
        <v>0</v>
      </c>
      <c r="U212" s="157">
        <f t="shared" si="90"/>
        <v>0</v>
      </c>
      <c r="V212" s="157">
        <f t="shared" si="90"/>
        <v>0</v>
      </c>
      <c r="W212" s="157">
        <f t="shared" si="90"/>
        <v>0</v>
      </c>
      <c r="X212" s="157">
        <f t="shared" si="90"/>
        <v>0</v>
      </c>
      <c r="Y212" s="157">
        <f t="shared" si="90"/>
        <v>0</v>
      </c>
      <c r="Z212" s="157">
        <f t="shared" si="91"/>
        <v>0</v>
      </c>
      <c r="AA212" s="157">
        <f t="shared" si="91"/>
        <v>0</v>
      </c>
      <c r="AB212" s="157">
        <f t="shared" si="91"/>
        <v>0</v>
      </c>
      <c r="AC212" s="157">
        <f t="shared" si="91"/>
        <v>0</v>
      </c>
      <c r="AD212" s="157">
        <f t="shared" si="91"/>
        <v>0</v>
      </c>
      <c r="AE212" s="157">
        <f t="shared" si="91"/>
        <v>0</v>
      </c>
      <c r="AF212" s="157">
        <f t="shared" si="91"/>
        <v>0</v>
      </c>
      <c r="AG212" s="157">
        <f t="shared" si="91"/>
        <v>0</v>
      </c>
      <c r="AH212" s="157">
        <f t="shared" si="91"/>
        <v>0</v>
      </c>
      <c r="AI212" s="157">
        <f t="shared" si="91"/>
        <v>0</v>
      </c>
      <c r="AJ212" s="157">
        <f t="shared" si="91"/>
        <v>0</v>
      </c>
      <c r="AK212" s="157">
        <f t="shared" si="91"/>
        <v>0</v>
      </c>
      <c r="AL212" s="157">
        <f t="shared" si="91"/>
        <v>0</v>
      </c>
      <c r="AM212" s="157">
        <f t="shared" si="91"/>
        <v>0.60075068501636153</v>
      </c>
      <c r="AN212" s="157">
        <f t="shared" si="92"/>
        <v>1.1937330772631547</v>
      </c>
      <c r="AO212" s="157">
        <f t="shared" si="92"/>
        <v>1.7793517268234735</v>
      </c>
      <c r="AP212" s="157">
        <f t="shared" si="92"/>
        <v>2.3579777033504641</v>
      </c>
      <c r="AQ212" s="157">
        <f t="shared" si="92"/>
        <v>2.9299523297459089</v>
      </c>
      <c r="AR212" s="157">
        <f t="shared" si="92"/>
        <v>3.5879981115436372</v>
      </c>
      <c r="AS212" s="157">
        <f t="shared" si="92"/>
        <v>4.2366506258939474</v>
      </c>
      <c r="AT212" s="157">
        <f t="shared" si="92"/>
        <v>4.8764267488030049</v>
      </c>
      <c r="AU212" s="157">
        <f t="shared" si="92"/>
        <v>5.5077982400535506</v>
      </c>
      <c r="AV212" s="157">
        <f t="shared" si="92"/>
        <v>6.1612943614035478</v>
      </c>
    </row>
    <row r="213" spans="1:48">
      <c r="A213" s="185" t="s">
        <v>16</v>
      </c>
      <c r="B213" s="87" t="str">
        <f t="shared" si="89"/>
        <v>CNW</v>
      </c>
      <c r="C213" s="87" t="str">
        <f t="shared" si="89"/>
        <v>Commercial - Water Heating</v>
      </c>
      <c r="E213" s="106"/>
      <c r="F213" s="106"/>
      <c r="I213" s="151"/>
      <c r="J213" s="157">
        <f t="shared" si="90"/>
        <v>0</v>
      </c>
      <c r="K213" s="157">
        <f t="shared" si="90"/>
        <v>0</v>
      </c>
      <c r="L213" s="157">
        <f t="shared" si="90"/>
        <v>0</v>
      </c>
      <c r="M213" s="157">
        <f t="shared" si="90"/>
        <v>0</v>
      </c>
      <c r="N213" s="157">
        <f t="shared" si="90"/>
        <v>0</v>
      </c>
      <c r="O213" s="157">
        <f t="shared" si="90"/>
        <v>0</v>
      </c>
      <c r="P213" s="157">
        <f t="shared" si="90"/>
        <v>0</v>
      </c>
      <c r="Q213" s="157">
        <f t="shared" si="90"/>
        <v>0</v>
      </c>
      <c r="R213" s="157">
        <f t="shared" si="90"/>
        <v>0</v>
      </c>
      <c r="S213" s="157">
        <f t="shared" si="90"/>
        <v>0</v>
      </c>
      <c r="T213" s="157">
        <f t="shared" si="90"/>
        <v>0</v>
      </c>
      <c r="U213" s="157">
        <f t="shared" si="90"/>
        <v>0</v>
      </c>
      <c r="V213" s="157">
        <f t="shared" si="90"/>
        <v>0</v>
      </c>
      <c r="W213" s="157">
        <f t="shared" si="90"/>
        <v>0</v>
      </c>
      <c r="X213" s="157">
        <f t="shared" si="90"/>
        <v>0</v>
      </c>
      <c r="Y213" s="157">
        <f t="shared" si="90"/>
        <v>0</v>
      </c>
      <c r="Z213" s="157">
        <f t="shared" si="91"/>
        <v>0</v>
      </c>
      <c r="AA213" s="157">
        <f t="shared" si="91"/>
        <v>0</v>
      </c>
      <c r="AB213" s="157">
        <f t="shared" si="91"/>
        <v>0</v>
      </c>
      <c r="AC213" s="157">
        <f t="shared" si="91"/>
        <v>0</v>
      </c>
      <c r="AD213" s="157">
        <f t="shared" si="91"/>
        <v>0</v>
      </c>
      <c r="AE213" s="157">
        <f t="shared" si="91"/>
        <v>0</v>
      </c>
      <c r="AF213" s="157">
        <f t="shared" si="91"/>
        <v>0</v>
      </c>
      <c r="AG213" s="157">
        <f t="shared" si="91"/>
        <v>0</v>
      </c>
      <c r="AH213" s="157">
        <f t="shared" si="91"/>
        <v>0</v>
      </c>
      <c r="AI213" s="157">
        <f t="shared" si="91"/>
        <v>0</v>
      </c>
      <c r="AJ213" s="157">
        <f t="shared" si="91"/>
        <v>0</v>
      </c>
      <c r="AK213" s="157">
        <f t="shared" si="91"/>
        <v>0</v>
      </c>
      <c r="AL213" s="157">
        <f t="shared" si="91"/>
        <v>0</v>
      </c>
      <c r="AM213" s="157">
        <f t="shared" si="91"/>
        <v>0.31316518813500566</v>
      </c>
      <c r="AN213" s="157">
        <f t="shared" si="92"/>
        <v>0.62228084469668754</v>
      </c>
      <c r="AO213" s="157">
        <f t="shared" si="92"/>
        <v>0.92755785750597008</v>
      </c>
      <c r="AP213" s="157">
        <f t="shared" si="92"/>
        <v>1.2291896613780562</v>
      </c>
      <c r="AQ213" s="157">
        <f t="shared" si="92"/>
        <v>1.5273541844508853</v>
      </c>
      <c r="AR213" s="157">
        <f t="shared" si="92"/>
        <v>1.8703867205727875</v>
      </c>
      <c r="AS213" s="157">
        <f t="shared" si="92"/>
        <v>2.2085226424406534</v>
      </c>
      <c r="AT213" s="157">
        <f t="shared" si="92"/>
        <v>2.5420313922303315</v>
      </c>
      <c r="AU213" s="157">
        <f t="shared" si="92"/>
        <v>2.8711588934918093</v>
      </c>
      <c r="AV213" s="157">
        <f t="shared" si="92"/>
        <v>3.2118197381523443</v>
      </c>
    </row>
    <row r="214" spans="1:48">
      <c r="A214" s="185" t="s">
        <v>16</v>
      </c>
      <c r="B214" s="87" t="str">
        <f t="shared" si="89"/>
        <v>CNG</v>
      </c>
      <c r="C214" s="87" t="str">
        <f t="shared" si="89"/>
        <v>Commercial - Public lights</v>
      </c>
      <c r="E214" s="106"/>
      <c r="F214" s="106"/>
      <c r="I214" s="151"/>
      <c r="J214" s="157">
        <f t="shared" si="90"/>
        <v>0</v>
      </c>
      <c r="K214" s="157">
        <f t="shared" si="90"/>
        <v>0</v>
      </c>
      <c r="L214" s="157">
        <f t="shared" si="90"/>
        <v>0</v>
      </c>
      <c r="M214" s="157">
        <f t="shared" si="90"/>
        <v>0</v>
      </c>
      <c r="N214" s="157">
        <f t="shared" si="90"/>
        <v>0</v>
      </c>
      <c r="O214" s="157">
        <f t="shared" si="90"/>
        <v>0</v>
      </c>
      <c r="P214" s="157">
        <f t="shared" si="90"/>
        <v>0</v>
      </c>
      <c r="Q214" s="157">
        <f t="shared" si="90"/>
        <v>0</v>
      </c>
      <c r="R214" s="157">
        <f t="shared" si="90"/>
        <v>0</v>
      </c>
      <c r="S214" s="157">
        <f t="shared" si="90"/>
        <v>0</v>
      </c>
      <c r="T214" s="157">
        <f t="shared" si="90"/>
        <v>0</v>
      </c>
      <c r="U214" s="157">
        <f t="shared" si="90"/>
        <v>0</v>
      </c>
      <c r="V214" s="157">
        <f t="shared" si="90"/>
        <v>0</v>
      </c>
      <c r="W214" s="157">
        <f t="shared" si="90"/>
        <v>0</v>
      </c>
      <c r="X214" s="157">
        <f t="shared" si="90"/>
        <v>0</v>
      </c>
      <c r="Y214" s="157">
        <f t="shared" si="90"/>
        <v>0</v>
      </c>
      <c r="Z214" s="157">
        <f t="shared" si="91"/>
        <v>0</v>
      </c>
      <c r="AA214" s="157">
        <f t="shared" si="91"/>
        <v>0</v>
      </c>
      <c r="AB214" s="157">
        <f t="shared" si="91"/>
        <v>0</v>
      </c>
      <c r="AC214" s="157">
        <f t="shared" si="91"/>
        <v>0</v>
      </c>
      <c r="AD214" s="157">
        <f t="shared" si="91"/>
        <v>0</v>
      </c>
      <c r="AE214" s="157">
        <f t="shared" si="91"/>
        <v>0</v>
      </c>
      <c r="AF214" s="157">
        <f t="shared" si="91"/>
        <v>0</v>
      </c>
      <c r="AG214" s="157">
        <f t="shared" si="91"/>
        <v>0</v>
      </c>
      <c r="AH214" s="157">
        <f t="shared" si="91"/>
        <v>0</v>
      </c>
      <c r="AI214" s="157">
        <f t="shared" si="91"/>
        <v>0</v>
      </c>
      <c r="AJ214" s="157">
        <f t="shared" si="91"/>
        <v>0</v>
      </c>
      <c r="AK214" s="157">
        <f t="shared" si="91"/>
        <v>0</v>
      </c>
      <c r="AL214" s="157">
        <f t="shared" si="91"/>
        <v>0</v>
      </c>
      <c r="AM214" s="157">
        <f t="shared" si="91"/>
        <v>0</v>
      </c>
      <c r="AN214" s="157">
        <f t="shared" si="92"/>
        <v>0</v>
      </c>
      <c r="AO214" s="157">
        <f t="shared" si="92"/>
        <v>0</v>
      </c>
      <c r="AP214" s="157">
        <f t="shared" si="92"/>
        <v>0</v>
      </c>
      <c r="AQ214" s="157">
        <f t="shared" si="92"/>
        <v>0</v>
      </c>
      <c r="AR214" s="157">
        <f t="shared" si="92"/>
        <v>0</v>
      </c>
      <c r="AS214" s="157">
        <f t="shared" si="92"/>
        <v>0</v>
      </c>
      <c r="AT214" s="157">
        <f t="shared" si="92"/>
        <v>0</v>
      </c>
      <c r="AU214" s="157">
        <f t="shared" si="92"/>
        <v>0</v>
      </c>
      <c r="AV214" s="157">
        <f t="shared" si="92"/>
        <v>0</v>
      </c>
    </row>
    <row r="215" spans="1:48">
      <c r="A215" s="185" t="s">
        <v>16</v>
      </c>
      <c r="B215" s="87" t="str">
        <f t="shared" si="89"/>
        <v>CNT</v>
      </c>
      <c r="C215" s="87" t="str">
        <f t="shared" si="89"/>
        <v>Commercial - Public Water</v>
      </c>
      <c r="E215" s="106"/>
      <c r="F215" s="106"/>
      <c r="I215" s="151"/>
      <c r="J215" s="157">
        <f t="shared" si="90"/>
        <v>0</v>
      </c>
      <c r="K215" s="157">
        <f t="shared" si="90"/>
        <v>0</v>
      </c>
      <c r="L215" s="157">
        <f t="shared" si="90"/>
        <v>0</v>
      </c>
      <c r="M215" s="157">
        <f t="shared" si="90"/>
        <v>0</v>
      </c>
      <c r="N215" s="157">
        <f t="shared" si="90"/>
        <v>0</v>
      </c>
      <c r="O215" s="157">
        <f t="shared" si="90"/>
        <v>0</v>
      </c>
      <c r="P215" s="157">
        <f t="shared" si="90"/>
        <v>0</v>
      </c>
      <c r="Q215" s="157">
        <f t="shared" si="90"/>
        <v>0</v>
      </c>
      <c r="R215" s="157">
        <f t="shared" si="90"/>
        <v>0</v>
      </c>
      <c r="S215" s="157">
        <f t="shared" si="90"/>
        <v>0</v>
      </c>
      <c r="T215" s="157">
        <f t="shared" si="90"/>
        <v>0</v>
      </c>
      <c r="U215" s="157">
        <f t="shared" si="90"/>
        <v>0</v>
      </c>
      <c r="V215" s="157">
        <f t="shared" si="90"/>
        <v>0</v>
      </c>
      <c r="W215" s="157">
        <f t="shared" si="90"/>
        <v>0</v>
      </c>
      <c r="X215" s="157">
        <f t="shared" si="90"/>
        <v>0</v>
      </c>
      <c r="Y215" s="157">
        <f t="shared" si="90"/>
        <v>0</v>
      </c>
      <c r="Z215" s="157">
        <f t="shared" si="91"/>
        <v>0</v>
      </c>
      <c r="AA215" s="157">
        <f t="shared" si="91"/>
        <v>0</v>
      </c>
      <c r="AB215" s="157">
        <f t="shared" si="91"/>
        <v>0</v>
      </c>
      <c r="AC215" s="157">
        <f t="shared" si="91"/>
        <v>0</v>
      </c>
      <c r="AD215" s="157">
        <f t="shared" si="91"/>
        <v>0</v>
      </c>
      <c r="AE215" s="157">
        <f t="shared" si="91"/>
        <v>0</v>
      </c>
      <c r="AF215" s="157">
        <f t="shared" si="91"/>
        <v>0</v>
      </c>
      <c r="AG215" s="157">
        <f t="shared" si="91"/>
        <v>0</v>
      </c>
      <c r="AH215" s="157">
        <f t="shared" si="91"/>
        <v>0</v>
      </c>
      <c r="AI215" s="157">
        <f t="shared" si="91"/>
        <v>0</v>
      </c>
      <c r="AJ215" s="157">
        <f t="shared" si="91"/>
        <v>0</v>
      </c>
      <c r="AK215" s="157">
        <f t="shared" si="91"/>
        <v>0</v>
      </c>
      <c r="AL215" s="157">
        <f t="shared" si="91"/>
        <v>0</v>
      </c>
      <c r="AM215" s="157">
        <f t="shared" si="91"/>
        <v>0</v>
      </c>
      <c r="AN215" s="157">
        <f t="shared" si="92"/>
        <v>0</v>
      </c>
      <c r="AO215" s="157">
        <f t="shared" si="92"/>
        <v>0</v>
      </c>
      <c r="AP215" s="157">
        <f t="shared" si="92"/>
        <v>0</v>
      </c>
      <c r="AQ215" s="157">
        <f t="shared" si="92"/>
        <v>0</v>
      </c>
      <c r="AR215" s="157">
        <f t="shared" si="92"/>
        <v>0</v>
      </c>
      <c r="AS215" s="157">
        <f t="shared" si="92"/>
        <v>0</v>
      </c>
      <c r="AT215" s="157">
        <f t="shared" si="92"/>
        <v>0</v>
      </c>
      <c r="AU215" s="157">
        <f t="shared" si="92"/>
        <v>0</v>
      </c>
      <c r="AV215" s="157">
        <f t="shared" si="92"/>
        <v>0</v>
      </c>
    </row>
    <row r="216" spans="1:48">
      <c r="A216" s="185" t="s">
        <v>16</v>
      </c>
      <c r="B216" s="87" t="str">
        <f t="shared" si="89"/>
        <v>CNO</v>
      </c>
      <c r="C216" s="87" t="str">
        <f t="shared" si="89"/>
        <v>Commercial - Other</v>
      </c>
      <c r="E216" s="106"/>
      <c r="F216" s="106"/>
      <c r="I216" s="151"/>
      <c r="J216" s="157">
        <f t="shared" si="90"/>
        <v>0</v>
      </c>
      <c r="K216" s="157">
        <f t="shared" si="90"/>
        <v>0</v>
      </c>
      <c r="L216" s="157">
        <f t="shared" si="90"/>
        <v>0</v>
      </c>
      <c r="M216" s="157">
        <f t="shared" si="90"/>
        <v>0</v>
      </c>
      <c r="N216" s="157">
        <f t="shared" si="90"/>
        <v>0</v>
      </c>
      <c r="O216" s="157">
        <f t="shared" si="90"/>
        <v>0</v>
      </c>
      <c r="P216" s="157">
        <f t="shared" si="90"/>
        <v>0</v>
      </c>
      <c r="Q216" s="157">
        <f t="shared" si="90"/>
        <v>0</v>
      </c>
      <c r="R216" s="157">
        <f t="shared" si="90"/>
        <v>0</v>
      </c>
      <c r="S216" s="157">
        <f t="shared" si="90"/>
        <v>0</v>
      </c>
      <c r="T216" s="157">
        <f t="shared" si="90"/>
        <v>0</v>
      </c>
      <c r="U216" s="157">
        <f t="shared" si="90"/>
        <v>0</v>
      </c>
      <c r="V216" s="157">
        <f t="shared" si="90"/>
        <v>0</v>
      </c>
      <c r="W216" s="157">
        <f t="shared" si="90"/>
        <v>0</v>
      </c>
      <c r="X216" s="157">
        <f t="shared" si="90"/>
        <v>0</v>
      </c>
      <c r="Y216" s="157">
        <f t="shared" si="90"/>
        <v>0</v>
      </c>
      <c r="Z216" s="157">
        <f t="shared" si="91"/>
        <v>0</v>
      </c>
      <c r="AA216" s="157">
        <f t="shared" si="91"/>
        <v>0</v>
      </c>
      <c r="AB216" s="157">
        <f t="shared" si="91"/>
        <v>0</v>
      </c>
      <c r="AC216" s="157">
        <f t="shared" si="91"/>
        <v>0</v>
      </c>
      <c r="AD216" s="157">
        <f t="shared" si="91"/>
        <v>0</v>
      </c>
      <c r="AE216" s="157">
        <f t="shared" si="91"/>
        <v>0</v>
      </c>
      <c r="AF216" s="157">
        <f t="shared" si="91"/>
        <v>0</v>
      </c>
      <c r="AG216" s="157">
        <f t="shared" si="91"/>
        <v>0</v>
      </c>
      <c r="AH216" s="157">
        <f t="shared" si="91"/>
        <v>0</v>
      </c>
      <c r="AI216" s="157">
        <f t="shared" si="91"/>
        <v>0</v>
      </c>
      <c r="AJ216" s="157">
        <f t="shared" si="91"/>
        <v>0</v>
      </c>
      <c r="AK216" s="157">
        <f t="shared" si="91"/>
        <v>0</v>
      </c>
      <c r="AL216" s="157">
        <f t="shared" si="91"/>
        <v>0</v>
      </c>
      <c r="AM216" s="157">
        <f t="shared" si="91"/>
        <v>0.40105666698826586</v>
      </c>
      <c r="AN216" s="157">
        <f t="shared" si="92"/>
        <v>0.79692727978790046</v>
      </c>
      <c r="AO216" s="157">
        <f t="shared" si="92"/>
        <v>1.187881913010556</v>
      </c>
      <c r="AP216" s="157">
        <f t="shared" si="92"/>
        <v>1.5741682899831018</v>
      </c>
      <c r="AQ216" s="157">
        <f t="shared" si="92"/>
        <v>1.9560142753235399</v>
      </c>
      <c r="AR216" s="157">
        <f t="shared" si="92"/>
        <v>2.3953207206691602</v>
      </c>
      <c r="AS216" s="157">
        <f t="shared" si="92"/>
        <v>2.8283562908771387</v>
      </c>
      <c r="AT216" s="157">
        <f t="shared" si="92"/>
        <v>3.2554660485057854</v>
      </c>
      <c r="AU216" s="157">
        <f t="shared" si="92"/>
        <v>3.6769649368598762</v>
      </c>
      <c r="AV216" s="157">
        <f t="shared" si="92"/>
        <v>4.1132340628971633</v>
      </c>
    </row>
    <row r="217" spans="1:48">
      <c r="A217" s="185" t="s">
        <v>16</v>
      </c>
      <c r="E217" s="106"/>
      <c r="F217" s="106"/>
      <c r="I217" s="151"/>
      <c r="J217" s="157"/>
      <c r="K217" s="157"/>
      <c r="L217" s="157"/>
      <c r="M217" s="157"/>
      <c r="N217" s="157"/>
      <c r="O217" s="157"/>
      <c r="P217" s="157"/>
      <c r="Q217" s="157"/>
      <c r="R217" s="157"/>
      <c r="S217" s="157"/>
      <c r="T217" s="157"/>
      <c r="U217" s="157"/>
      <c r="V217" s="157"/>
      <c r="W217" s="157"/>
      <c r="X217" s="157"/>
      <c r="Y217" s="157"/>
      <c r="Z217" s="157"/>
      <c r="AA217" s="157"/>
      <c r="AB217" s="157"/>
      <c r="AC217" s="157"/>
      <c r="AD217" s="157"/>
      <c r="AE217" s="157"/>
      <c r="AF217" s="157"/>
      <c r="AG217" s="157"/>
      <c r="AH217" s="157"/>
      <c r="AI217" s="157"/>
      <c r="AJ217" s="157"/>
      <c r="AK217" s="157"/>
      <c r="AL217" s="157"/>
      <c r="AM217" s="157"/>
      <c r="AN217" s="157"/>
      <c r="AO217" s="157"/>
      <c r="AP217" s="157"/>
      <c r="AQ217" s="157"/>
      <c r="AR217" s="157"/>
      <c r="AS217" s="157"/>
      <c r="AT217" s="157"/>
      <c r="AU217" s="157"/>
      <c r="AV217" s="157"/>
    </row>
    <row r="218" spans="1:48" ht="15.75" thickBot="1">
      <c r="A218" s="185" t="s">
        <v>16</v>
      </c>
      <c r="B218" s="85" t="s">
        <v>482</v>
      </c>
      <c r="C218" s="85"/>
      <c r="D218" s="85"/>
      <c r="E218" s="85"/>
      <c r="F218" s="85"/>
      <c r="G218" s="85"/>
      <c r="H218" s="85"/>
      <c r="I218" s="152"/>
      <c r="J218" s="85"/>
      <c r="K218" s="85"/>
      <c r="L218" s="85"/>
      <c r="M218" s="85"/>
      <c r="N218" s="85"/>
      <c r="O218" s="85"/>
      <c r="P218" s="85"/>
      <c r="Q218" s="85"/>
      <c r="R218" s="85"/>
      <c r="S218" s="85"/>
      <c r="T218" s="85"/>
      <c r="U218" s="85"/>
      <c r="V218" s="85"/>
      <c r="W218" s="85"/>
      <c r="X218" s="85"/>
      <c r="Y218" s="85"/>
      <c r="Z218" s="85"/>
      <c r="AA218" s="85"/>
      <c r="AB218" s="85"/>
      <c r="AC218" s="85"/>
      <c r="AD218" s="85"/>
      <c r="AE218" s="85"/>
      <c r="AF218" s="85"/>
      <c r="AG218" s="85"/>
      <c r="AH218" s="85"/>
      <c r="AI218" s="85"/>
      <c r="AJ218" s="85"/>
      <c r="AK218" s="85"/>
      <c r="AL218" s="85"/>
      <c r="AM218" s="85"/>
      <c r="AN218" s="85"/>
      <c r="AO218" s="85"/>
      <c r="AP218" s="85"/>
      <c r="AQ218" s="85"/>
      <c r="AR218" s="85"/>
      <c r="AS218" s="85"/>
      <c r="AT218" s="85"/>
      <c r="AU218" s="85"/>
      <c r="AV218" s="85"/>
    </row>
    <row r="219" spans="1:48">
      <c r="A219" s="185" t="s">
        <v>16</v>
      </c>
      <c r="E219" s="106"/>
      <c r="F219" s="106"/>
      <c r="I219" s="151"/>
      <c r="J219" s="157"/>
      <c r="K219" s="157"/>
      <c r="L219" s="157"/>
      <c r="M219" s="157"/>
      <c r="N219" s="157"/>
      <c r="O219" s="157"/>
      <c r="P219" s="157"/>
      <c r="Q219" s="157"/>
      <c r="R219" s="157"/>
      <c r="S219" s="157"/>
      <c r="T219" s="157"/>
      <c r="U219" s="157"/>
      <c r="V219" s="157"/>
      <c r="W219" s="157"/>
      <c r="X219" s="157"/>
      <c r="Y219" s="157"/>
      <c r="Z219" s="157"/>
      <c r="AA219" s="157"/>
      <c r="AB219" s="157"/>
      <c r="AC219" s="157"/>
      <c r="AD219" s="157"/>
      <c r="AE219" s="157"/>
      <c r="AF219" s="157"/>
      <c r="AG219" s="157"/>
      <c r="AH219" s="157"/>
      <c r="AI219" s="157"/>
      <c r="AJ219" s="157"/>
      <c r="AK219" s="157"/>
      <c r="AL219" s="157"/>
      <c r="AM219" s="157"/>
      <c r="AN219" s="157"/>
      <c r="AO219" s="157"/>
      <c r="AP219" s="157"/>
      <c r="AQ219" s="157"/>
      <c r="AR219" s="157"/>
      <c r="AS219" s="157"/>
      <c r="AT219" s="157"/>
      <c r="AU219" s="157"/>
      <c r="AV219" s="157"/>
    </row>
    <row r="220" spans="1:48">
      <c r="A220" s="185" t="s">
        <v>16</v>
      </c>
      <c r="B220" s="87" t="str">
        <f t="shared" ref="B220:C228" si="93">B208</f>
        <v>CNC</v>
      </c>
      <c r="C220" s="87" t="str">
        <f t="shared" si="93"/>
        <v>Commercial - Cooling</v>
      </c>
      <c r="E220" s="106"/>
      <c r="F220" s="106"/>
      <c r="I220" s="151"/>
      <c r="J220" s="157">
        <f t="shared" ref="J220:AV226" si="94">J186+J197+J208</f>
        <v>0</v>
      </c>
      <c r="K220" s="157">
        <f t="shared" si="94"/>
        <v>0</v>
      </c>
      <c r="L220" s="157">
        <f t="shared" si="94"/>
        <v>0</v>
      </c>
      <c r="M220" s="157">
        <f t="shared" si="94"/>
        <v>0</v>
      </c>
      <c r="N220" s="157">
        <f t="shared" si="94"/>
        <v>0</v>
      </c>
      <c r="O220" s="157">
        <f t="shared" si="94"/>
        <v>0</v>
      </c>
      <c r="P220" s="157">
        <f t="shared" si="94"/>
        <v>1.5826011087333609</v>
      </c>
      <c r="Q220" s="157">
        <f t="shared" si="94"/>
        <v>3.2727888378763019</v>
      </c>
      <c r="R220" s="157">
        <f t="shared" si="94"/>
        <v>4.2350555604682834</v>
      </c>
      <c r="S220" s="157">
        <f t="shared" si="94"/>
        <v>6.2039116504232403</v>
      </c>
      <c r="T220" s="157">
        <f t="shared" si="94"/>
        <v>8.1477592630354909</v>
      </c>
      <c r="U220" s="157">
        <f t="shared" si="94"/>
        <v>10.076074458524694</v>
      </c>
      <c r="V220" s="157">
        <f t="shared" si="94"/>
        <v>11.974810016910205</v>
      </c>
      <c r="W220" s="157">
        <f t="shared" si="94"/>
        <v>13.899367079787028</v>
      </c>
      <c r="X220" s="157">
        <f t="shared" si="94"/>
        <v>15.97889515698475</v>
      </c>
      <c r="Y220" s="157">
        <f t="shared" si="94"/>
        <v>18.03362410843485</v>
      </c>
      <c r="Z220" s="157">
        <f t="shared" si="94"/>
        <v>20.125330003602787</v>
      </c>
      <c r="AA220" s="157">
        <f t="shared" si="94"/>
        <v>22.240274327759533</v>
      </c>
      <c r="AB220" s="157">
        <f t="shared" si="94"/>
        <v>24.375278393979318</v>
      </c>
      <c r="AC220" s="157">
        <f t="shared" si="94"/>
        <v>26.661660167793737</v>
      </c>
      <c r="AD220" s="157">
        <f t="shared" si="94"/>
        <v>28.907959626978101</v>
      </c>
      <c r="AE220" s="157">
        <f t="shared" si="94"/>
        <v>31.255293423241625</v>
      </c>
      <c r="AF220" s="157">
        <f t="shared" si="94"/>
        <v>33.680790683203</v>
      </c>
      <c r="AG220" s="157">
        <f t="shared" si="94"/>
        <v>36.176046946210533</v>
      </c>
      <c r="AH220" s="157">
        <f t="shared" si="94"/>
        <v>38.717184653093838</v>
      </c>
      <c r="AI220" s="157">
        <f t="shared" si="94"/>
        <v>41.296093103719301</v>
      </c>
      <c r="AJ220" s="157">
        <f t="shared" si="94"/>
        <v>43.876496486628767</v>
      </c>
      <c r="AK220" s="157">
        <f t="shared" si="94"/>
        <v>46.496574977814674</v>
      </c>
      <c r="AL220" s="157">
        <f t="shared" si="94"/>
        <v>49.189885893879108</v>
      </c>
      <c r="AM220" s="157">
        <f t="shared" si="94"/>
        <v>52.027685149042561</v>
      </c>
      <c r="AN220" s="157">
        <f t="shared" si="94"/>
        <v>54.828788889768489</v>
      </c>
      <c r="AO220" s="157">
        <f t="shared" si="94"/>
        <v>57.595108111671394</v>
      </c>
      <c r="AP220" s="157">
        <f t="shared" si="94"/>
        <v>60.328395657006112</v>
      </c>
      <c r="AQ220" s="157">
        <f t="shared" si="94"/>
        <v>63.030263851651917</v>
      </c>
      <c r="AR220" s="157">
        <f t="shared" si="94"/>
        <v>66.138711126078562</v>
      </c>
      <c r="AS220" s="157">
        <f t="shared" si="94"/>
        <v>69.202786903259039</v>
      </c>
      <c r="AT220" s="157">
        <f t="shared" si="94"/>
        <v>72.224932778986556</v>
      </c>
      <c r="AU220" s="157">
        <f t="shared" si="94"/>
        <v>75.20737723105313</v>
      </c>
      <c r="AV220" s="157">
        <f t="shared" si="94"/>
        <v>78.294333022653632</v>
      </c>
    </row>
    <row r="221" spans="1:48">
      <c r="A221" s="185" t="s">
        <v>16</v>
      </c>
      <c r="B221" s="87" t="str">
        <f t="shared" si="93"/>
        <v>CNH</v>
      </c>
      <c r="C221" s="87" t="str">
        <f t="shared" si="93"/>
        <v>Commercial - Space Heating</v>
      </c>
      <c r="E221" s="106"/>
      <c r="F221" s="106"/>
      <c r="I221" s="151"/>
      <c r="J221" s="157">
        <f t="shared" si="94"/>
        <v>0</v>
      </c>
      <c r="K221" s="157">
        <f t="shared" si="94"/>
        <v>0</v>
      </c>
      <c r="L221" s="157">
        <f t="shared" si="94"/>
        <v>0</v>
      </c>
      <c r="M221" s="157">
        <f t="shared" si="94"/>
        <v>0</v>
      </c>
      <c r="N221" s="157">
        <f t="shared" si="94"/>
        <v>0</v>
      </c>
      <c r="O221" s="157">
        <f t="shared" si="94"/>
        <v>0</v>
      </c>
      <c r="P221" s="157">
        <f t="shared" si="94"/>
        <v>0.15092687254753431</v>
      </c>
      <c r="Q221" s="157">
        <f t="shared" si="94"/>
        <v>0.31211388712123755</v>
      </c>
      <c r="R221" s="157">
        <f t="shared" si="94"/>
        <v>0.40388174081218448</v>
      </c>
      <c r="S221" s="157">
        <f t="shared" si="94"/>
        <v>0.59164433652456594</v>
      </c>
      <c r="T221" s="157">
        <f t="shared" si="94"/>
        <v>0.77702196532918899</v>
      </c>
      <c r="U221" s="157">
        <f t="shared" si="94"/>
        <v>0.96091832438962399</v>
      </c>
      <c r="V221" s="157">
        <f t="shared" si="94"/>
        <v>1.1419937817746368</v>
      </c>
      <c r="W221" s="157">
        <f t="shared" si="94"/>
        <v>1.3255317414894152</v>
      </c>
      <c r="X221" s="157">
        <f t="shared" si="94"/>
        <v>1.5238487193648038</v>
      </c>
      <c r="Y221" s="157">
        <f t="shared" si="94"/>
        <v>1.719800695427451</v>
      </c>
      <c r="Z221" s="157">
        <f t="shared" si="94"/>
        <v>1.9192790272097433</v>
      </c>
      <c r="AA221" s="157">
        <f t="shared" si="94"/>
        <v>2.1209735228698725</v>
      </c>
      <c r="AB221" s="157">
        <f t="shared" si="94"/>
        <v>2.3245810426754905</v>
      </c>
      <c r="AC221" s="157">
        <f t="shared" si="94"/>
        <v>2.5426249001372594</v>
      </c>
      <c r="AD221" s="157">
        <f t="shared" si="94"/>
        <v>2.7568462540267777</v>
      </c>
      <c r="AE221" s="157">
        <f t="shared" si="94"/>
        <v>2.9807028826744921</v>
      </c>
      <c r="AF221" s="157">
        <f t="shared" si="94"/>
        <v>3.2120136746349321</v>
      </c>
      <c r="AG221" s="157">
        <f t="shared" si="94"/>
        <v>3.4499771272713255</v>
      </c>
      <c r="AH221" s="157">
        <f t="shared" si="94"/>
        <v>3.6923161252007954</v>
      </c>
      <c r="AI221" s="157">
        <f t="shared" si="94"/>
        <v>3.9382571806514806</v>
      </c>
      <c r="AJ221" s="157">
        <f t="shared" si="94"/>
        <v>4.1843408023199267</v>
      </c>
      <c r="AK221" s="157">
        <f t="shared" si="94"/>
        <v>4.4342080937817929</v>
      </c>
      <c r="AL221" s="157">
        <f t="shared" si="94"/>
        <v>4.6910592934407376</v>
      </c>
      <c r="AM221" s="157">
        <f t="shared" si="94"/>
        <v>4.961689816909999</v>
      </c>
      <c r="AN221" s="157">
        <f t="shared" si="94"/>
        <v>5.228820823539535</v>
      </c>
      <c r="AO221" s="157">
        <f t="shared" si="94"/>
        <v>5.4926345579833908</v>
      </c>
      <c r="AP221" s="157">
        <f t="shared" si="94"/>
        <v>5.753298182388825</v>
      </c>
      <c r="AQ221" s="157">
        <f t="shared" si="94"/>
        <v>6.0109654583709045</v>
      </c>
      <c r="AR221" s="157">
        <f t="shared" si="94"/>
        <v>6.3074066923743377</v>
      </c>
      <c r="AS221" s="157">
        <f t="shared" si="94"/>
        <v>6.5996163791656155</v>
      </c>
      <c r="AT221" s="157">
        <f t="shared" si="94"/>
        <v>6.887827364794866</v>
      </c>
      <c r="AU221" s="157">
        <f t="shared" si="94"/>
        <v>7.1722521710288349</v>
      </c>
      <c r="AV221" s="157">
        <f t="shared" si="94"/>
        <v>7.4666438410129734</v>
      </c>
    </row>
    <row r="222" spans="1:48">
      <c r="A222" s="185" t="s">
        <v>16</v>
      </c>
      <c r="B222" s="87" t="str">
        <f t="shared" si="93"/>
        <v>CNK</v>
      </c>
      <c r="C222" s="87" t="str">
        <f t="shared" si="93"/>
        <v>Commercial - Cooking</v>
      </c>
      <c r="E222" s="106"/>
      <c r="F222" s="106"/>
      <c r="I222" s="151"/>
      <c r="J222" s="157">
        <f t="shared" si="94"/>
        <v>0</v>
      </c>
      <c r="K222" s="157">
        <f t="shared" si="94"/>
        <v>0</v>
      </c>
      <c r="L222" s="157">
        <f t="shared" si="94"/>
        <v>0</v>
      </c>
      <c r="M222" s="157">
        <f t="shared" si="94"/>
        <v>0</v>
      </c>
      <c r="N222" s="157">
        <f t="shared" si="94"/>
        <v>0</v>
      </c>
      <c r="O222" s="157">
        <f t="shared" si="94"/>
        <v>0</v>
      </c>
      <c r="P222" s="157">
        <f t="shared" si="94"/>
        <v>0.1128855701047503</v>
      </c>
      <c r="Q222" s="157">
        <f t="shared" si="94"/>
        <v>0.23344520091472726</v>
      </c>
      <c r="R222" s="157">
        <f t="shared" si="94"/>
        <v>0.30208285507355981</v>
      </c>
      <c r="S222" s="157">
        <f t="shared" si="94"/>
        <v>0.44251965935878973</v>
      </c>
      <c r="T222" s="157">
        <f t="shared" si="94"/>
        <v>0.58117263055638668</v>
      </c>
      <c r="U222" s="157">
        <f t="shared" si="94"/>
        <v>0.71871768785681511</v>
      </c>
      <c r="V222" s="157">
        <f t="shared" si="94"/>
        <v>0.85415285519222628</v>
      </c>
      <c r="W222" s="157">
        <f t="shared" si="94"/>
        <v>0.99142984813952317</v>
      </c>
      <c r="X222" s="157">
        <f t="shared" si="94"/>
        <v>1.1397607896811868</v>
      </c>
      <c r="Y222" s="157">
        <f t="shared" si="94"/>
        <v>1.2863228310036661</v>
      </c>
      <c r="Z222" s="157">
        <f t="shared" si="94"/>
        <v>1.4355224057824816</v>
      </c>
      <c r="AA222" s="157">
        <f t="shared" si="94"/>
        <v>1.5863795576287365</v>
      </c>
      <c r="AB222" s="157">
        <f t="shared" si="94"/>
        <v>1.7386675535496259</v>
      </c>
      <c r="AC222" s="157">
        <f t="shared" si="94"/>
        <v>1.9017531905998371</v>
      </c>
      <c r="AD222" s="157">
        <f t="shared" si="94"/>
        <v>2.0619797907688264</v>
      </c>
      <c r="AE222" s="157">
        <f t="shared" si="94"/>
        <v>2.2294130829326573</v>
      </c>
      <c r="AF222" s="157">
        <f t="shared" si="94"/>
        <v>2.4024217074478953</v>
      </c>
      <c r="AG222" s="157">
        <f t="shared" si="94"/>
        <v>2.5804061813956585</v>
      </c>
      <c r="AH222" s="157">
        <f t="shared" si="94"/>
        <v>2.7616633391047092</v>
      </c>
      <c r="AI222" s="157">
        <f t="shared" si="94"/>
        <v>2.94561465134018</v>
      </c>
      <c r="AJ222" s="157">
        <f t="shared" si="94"/>
        <v>3.1296725958042124</v>
      </c>
      <c r="AK222" s="157">
        <f t="shared" si="94"/>
        <v>3.3165605314719908</v>
      </c>
      <c r="AL222" s="157">
        <f t="shared" si="94"/>
        <v>3.5086720727514087</v>
      </c>
      <c r="AM222" s="157">
        <f t="shared" si="94"/>
        <v>3.7110898424560896</v>
      </c>
      <c r="AN222" s="157">
        <f t="shared" si="94"/>
        <v>3.9108901528119127</v>
      </c>
      <c r="AO222" s="157">
        <f t="shared" si="94"/>
        <v>4.1082093134854265</v>
      </c>
      <c r="AP222" s="157">
        <f t="shared" si="94"/>
        <v>4.3031723532006394</v>
      </c>
      <c r="AQ222" s="157">
        <f t="shared" si="94"/>
        <v>4.4958942777698656</v>
      </c>
      <c r="AR222" s="157">
        <f t="shared" si="94"/>
        <v>4.7176171369147397</v>
      </c>
      <c r="AS222" s="157">
        <f t="shared" si="94"/>
        <v>4.9361750154871915</v>
      </c>
      <c r="AT222" s="157">
        <f t="shared" si="94"/>
        <v>5.1517420704062085</v>
      </c>
      <c r="AU222" s="157">
        <f t="shared" si="94"/>
        <v>5.3644772570678327</v>
      </c>
      <c r="AV222" s="157">
        <f t="shared" si="94"/>
        <v>5.5846671473061154</v>
      </c>
    </row>
    <row r="223" spans="1:48">
      <c r="A223" s="185" t="s">
        <v>16</v>
      </c>
      <c r="B223" s="87" t="str">
        <f t="shared" si="93"/>
        <v>CNL</v>
      </c>
      <c r="C223" s="87" t="str">
        <f t="shared" si="93"/>
        <v>Commercial - Lighting</v>
      </c>
      <c r="E223" s="106"/>
      <c r="F223" s="106"/>
      <c r="I223" s="151"/>
      <c r="J223" s="157">
        <f t="shared" si="94"/>
        <v>0</v>
      </c>
      <c r="K223" s="157">
        <f t="shared" si="94"/>
        <v>0</v>
      </c>
      <c r="L223" s="157">
        <f t="shared" si="94"/>
        <v>0</v>
      </c>
      <c r="M223" s="157">
        <f t="shared" si="94"/>
        <v>0</v>
      </c>
      <c r="N223" s="157">
        <f t="shared" si="94"/>
        <v>0</v>
      </c>
      <c r="O223" s="157">
        <f t="shared" si="94"/>
        <v>0</v>
      </c>
      <c r="P223" s="157">
        <f t="shared" si="94"/>
        <v>1.3772283906971867</v>
      </c>
      <c r="Q223" s="157">
        <f t="shared" si="94"/>
        <v>2.848081983139509</v>
      </c>
      <c r="R223" s="157">
        <f t="shared" si="94"/>
        <v>3.6854762213107977</v>
      </c>
      <c r="S223" s="157">
        <f t="shared" si="94"/>
        <v>5.3988356328009299</v>
      </c>
      <c r="T223" s="157">
        <f t="shared" si="94"/>
        <v>7.0904318944901314</v>
      </c>
      <c r="U223" s="157">
        <f t="shared" si="94"/>
        <v>8.7685113668127848</v>
      </c>
      <c r="V223" s="157">
        <f t="shared" si="94"/>
        <v>10.420849724851546</v>
      </c>
      <c r="W223" s="157">
        <f t="shared" si="94"/>
        <v>12.09565875404029</v>
      </c>
      <c r="X223" s="157">
        <f t="shared" si="94"/>
        <v>13.905328348838461</v>
      </c>
      <c r="Y223" s="157">
        <f t="shared" si="94"/>
        <v>15.693416978063171</v>
      </c>
      <c r="Z223" s="157">
        <f t="shared" si="94"/>
        <v>17.51368408638055</v>
      </c>
      <c r="AA223" s="157">
        <f t="shared" si="94"/>
        <v>19.354173993722885</v>
      </c>
      <c r="AB223" s="157">
        <f t="shared" si="94"/>
        <v>21.212120508498916</v>
      </c>
      <c r="AC223" s="157">
        <f t="shared" si="94"/>
        <v>23.201800582330041</v>
      </c>
      <c r="AD223" s="157">
        <f t="shared" si="94"/>
        <v>25.156599787337846</v>
      </c>
      <c r="AE223" s="157">
        <f t="shared" si="94"/>
        <v>27.199322194656595</v>
      </c>
      <c r="AF223" s="157">
        <f t="shared" si="94"/>
        <v>29.310064863509258</v>
      </c>
      <c r="AG223" s="157">
        <f t="shared" si="94"/>
        <v>31.481513972520297</v>
      </c>
      <c r="AH223" s="157">
        <f t="shared" si="94"/>
        <v>33.692890531830216</v>
      </c>
      <c r="AI223" s="157">
        <f t="shared" si="94"/>
        <v>35.937136359544141</v>
      </c>
      <c r="AJ223" s="157">
        <f t="shared" si="94"/>
        <v>38.182683123528321</v>
      </c>
      <c r="AK223" s="157">
        <f t="shared" si="94"/>
        <v>40.462756392783334</v>
      </c>
      <c r="AL223" s="157">
        <f t="shared" si="94"/>
        <v>42.806558781211677</v>
      </c>
      <c r="AM223" s="157">
        <f t="shared" si="94"/>
        <v>45.276099387333488</v>
      </c>
      <c r="AN223" s="157">
        <f t="shared" si="94"/>
        <v>47.713706422819143</v>
      </c>
      <c r="AO223" s="157">
        <f t="shared" si="94"/>
        <v>50.121042895106378</v>
      </c>
      <c r="AP223" s="157">
        <f t="shared" si="94"/>
        <v>52.499634181692052</v>
      </c>
      <c r="AQ223" s="157">
        <f t="shared" si="94"/>
        <v>54.85088337838075</v>
      </c>
      <c r="AR223" s="157">
        <f t="shared" si="94"/>
        <v>57.555950254488273</v>
      </c>
      <c r="AS223" s="157">
        <f t="shared" si="94"/>
        <v>60.222403682514702</v>
      </c>
      <c r="AT223" s="157">
        <f t="shared" si="94"/>
        <v>62.852368414570009</v>
      </c>
      <c r="AU223" s="157">
        <f t="shared" si="94"/>
        <v>65.447783740893669</v>
      </c>
      <c r="AV223" s="157">
        <f t="shared" si="94"/>
        <v>68.134148064511507</v>
      </c>
    </row>
    <row r="224" spans="1:48">
      <c r="A224" s="185" t="s">
        <v>16</v>
      </c>
      <c r="B224" s="87" t="str">
        <f t="shared" si="93"/>
        <v>CNR</v>
      </c>
      <c r="C224" s="87" t="str">
        <f t="shared" si="93"/>
        <v>Commercial - Refrigeration</v>
      </c>
      <c r="E224" s="106"/>
      <c r="F224" s="106"/>
      <c r="I224" s="151"/>
      <c r="J224" s="157">
        <f t="shared" si="94"/>
        <v>0</v>
      </c>
      <c r="K224" s="157">
        <f t="shared" si="94"/>
        <v>0</v>
      </c>
      <c r="L224" s="157">
        <f t="shared" si="94"/>
        <v>0</v>
      </c>
      <c r="M224" s="157">
        <f t="shared" si="94"/>
        <v>0</v>
      </c>
      <c r="N224" s="157">
        <f t="shared" si="94"/>
        <v>0</v>
      </c>
      <c r="O224" s="157">
        <f t="shared" si="94"/>
        <v>0</v>
      </c>
      <c r="P224" s="157">
        <f t="shared" si="94"/>
        <v>0.3350302874487357</v>
      </c>
      <c r="Q224" s="157">
        <f t="shared" si="94"/>
        <v>0.69283622958553637</v>
      </c>
      <c r="R224" s="157">
        <f t="shared" si="94"/>
        <v>0.89654422327597971</v>
      </c>
      <c r="S224" s="157">
        <f t="shared" si="94"/>
        <v>1.3133431362318395</v>
      </c>
      <c r="T224" s="157">
        <f t="shared" si="94"/>
        <v>1.724847855150714</v>
      </c>
      <c r="U224" s="157">
        <f t="shared" si="94"/>
        <v>2.1330644238561254</v>
      </c>
      <c r="V224" s="157">
        <f t="shared" si="94"/>
        <v>2.5350191023942732</v>
      </c>
      <c r="W224" s="157">
        <f t="shared" si="94"/>
        <v>2.9424400895457175</v>
      </c>
      <c r="X224" s="157">
        <f t="shared" si="94"/>
        <v>3.3826678169348883</v>
      </c>
      <c r="Y224" s="157">
        <f t="shared" si="94"/>
        <v>3.8176456691774705</v>
      </c>
      <c r="Z224" s="157">
        <f t="shared" si="94"/>
        <v>4.2604513916359892</v>
      </c>
      <c r="AA224" s="157">
        <f t="shared" si="94"/>
        <v>4.7081765960163988</v>
      </c>
      <c r="AB224" s="157">
        <f t="shared" si="94"/>
        <v>5.1601483670853066</v>
      </c>
      <c r="AC224" s="157">
        <f t="shared" si="94"/>
        <v>5.6441661898149205</v>
      </c>
      <c r="AD224" s="157">
        <f t="shared" si="94"/>
        <v>6.1196987478003031</v>
      </c>
      <c r="AE224" s="157">
        <f t="shared" si="94"/>
        <v>6.6166198684544648</v>
      </c>
      <c r="AF224" s="157">
        <f t="shared" si="94"/>
        <v>7.1300878798988387</v>
      </c>
      <c r="AG224" s="157">
        <f t="shared" si="94"/>
        <v>7.6583235916270809</v>
      </c>
      <c r="AH224" s="157">
        <f t="shared" si="94"/>
        <v>8.19627222042927</v>
      </c>
      <c r="AI224" s="157">
        <f t="shared" si="94"/>
        <v>8.7422167637188526</v>
      </c>
      <c r="AJ224" s="157">
        <f t="shared" si="94"/>
        <v>9.2884777781584056</v>
      </c>
      <c r="AK224" s="157">
        <f t="shared" si="94"/>
        <v>9.8431378533954437</v>
      </c>
      <c r="AL224" s="157">
        <f t="shared" si="94"/>
        <v>10.413300938343664</v>
      </c>
      <c r="AM224" s="157">
        <f t="shared" si="94"/>
        <v>11.014051623360025</v>
      </c>
      <c r="AN224" s="157">
        <f t="shared" si="94"/>
        <v>11.607034015606818</v>
      </c>
      <c r="AO224" s="157">
        <f t="shared" si="94"/>
        <v>12.192652665167138</v>
      </c>
      <c r="AP224" s="157">
        <f t="shared" si="94"/>
        <v>12.771278641694128</v>
      </c>
      <c r="AQ224" s="157">
        <f t="shared" si="94"/>
        <v>13.343253268089573</v>
      </c>
      <c r="AR224" s="157">
        <f t="shared" si="94"/>
        <v>14.001299049887301</v>
      </c>
      <c r="AS224" s="157">
        <f t="shared" si="94"/>
        <v>14.649951564237611</v>
      </c>
      <c r="AT224" s="157">
        <f t="shared" si="94"/>
        <v>15.289727687146669</v>
      </c>
      <c r="AU224" s="157">
        <f t="shared" si="94"/>
        <v>15.921099178397213</v>
      </c>
      <c r="AV224" s="157">
        <f t="shared" si="94"/>
        <v>16.574595299747212</v>
      </c>
    </row>
    <row r="225" spans="1:48">
      <c r="A225" s="185" t="s">
        <v>16</v>
      </c>
      <c r="B225" s="87" t="str">
        <f t="shared" si="93"/>
        <v>CNW</v>
      </c>
      <c r="C225" s="87" t="str">
        <f t="shared" si="93"/>
        <v>Commercial - Water Heating</v>
      </c>
      <c r="E225" s="106"/>
      <c r="F225" s="106"/>
      <c r="I225" s="151"/>
      <c r="J225" s="157">
        <f t="shared" si="94"/>
        <v>0</v>
      </c>
      <c r="K225" s="157">
        <f t="shared" si="94"/>
        <v>0</v>
      </c>
      <c r="L225" s="157">
        <f t="shared" si="94"/>
        <v>0</v>
      </c>
      <c r="M225" s="157">
        <f t="shared" si="94"/>
        <v>0</v>
      </c>
      <c r="N225" s="157">
        <f t="shared" si="94"/>
        <v>0</v>
      </c>
      <c r="O225" s="157">
        <f t="shared" si="94"/>
        <v>0</v>
      </c>
      <c r="P225" s="157">
        <f t="shared" si="94"/>
        <v>0.17464786244388691</v>
      </c>
      <c r="Q225" s="157">
        <f t="shared" si="94"/>
        <v>0.36116844074675197</v>
      </c>
      <c r="R225" s="157">
        <f t="shared" si="94"/>
        <v>0.46735933450650663</v>
      </c>
      <c r="S225" s="157">
        <f t="shared" si="94"/>
        <v>0.6846323451677141</v>
      </c>
      <c r="T225" s="157">
        <f t="shared" si="94"/>
        <v>0.89914554662192836</v>
      </c>
      <c r="U225" s="157">
        <f t="shared" si="94"/>
        <v>1.1119446689982515</v>
      </c>
      <c r="V225" s="157">
        <f t="shared" si="94"/>
        <v>1.321479532071635</v>
      </c>
      <c r="W225" s="157">
        <f t="shared" si="94"/>
        <v>1.5338639259204025</v>
      </c>
      <c r="X225" s="157">
        <f t="shared" si="94"/>
        <v>1.7633501379358263</v>
      </c>
      <c r="Y225" s="157">
        <f t="shared" si="94"/>
        <v>1.9900996437285645</v>
      </c>
      <c r="Z225" s="157">
        <f t="shared" si="94"/>
        <v>2.2209297382081115</v>
      </c>
      <c r="AA225" s="157">
        <f t="shared" si="94"/>
        <v>2.4543243083012873</v>
      </c>
      <c r="AB225" s="157">
        <f t="shared" si="94"/>
        <v>2.689932570178927</v>
      </c>
      <c r="AC225" s="157">
        <f t="shared" si="94"/>
        <v>2.9422461110476941</v>
      </c>
      <c r="AD225" s="157">
        <f t="shared" si="94"/>
        <v>3.1901363701853209</v>
      </c>
      <c r="AE225" s="157">
        <f t="shared" si="94"/>
        <v>3.4491762682982627</v>
      </c>
      <c r="AF225" s="157">
        <f t="shared" si="94"/>
        <v>3.7168418913527006</v>
      </c>
      <c r="AG225" s="157">
        <f t="shared" si="94"/>
        <v>3.992205765533714</v>
      </c>
      <c r="AH225" s="157">
        <f t="shared" si="94"/>
        <v>4.2726328840499717</v>
      </c>
      <c r="AI225" s="157">
        <f t="shared" si="94"/>
        <v>4.5572281910131345</v>
      </c>
      <c r="AJ225" s="157">
        <f t="shared" si="94"/>
        <v>4.8419884711501808</v>
      </c>
      <c r="AK225" s="157">
        <f t="shared" si="94"/>
        <v>5.1311270957825483</v>
      </c>
      <c r="AL225" s="157">
        <f t="shared" si="94"/>
        <v>5.428347280825836</v>
      </c>
      <c r="AM225" s="157">
        <f t="shared" si="94"/>
        <v>5.7415124689608419</v>
      </c>
      <c r="AN225" s="157">
        <f t="shared" si="94"/>
        <v>6.0506281255225236</v>
      </c>
      <c r="AO225" s="157">
        <f t="shared" si="94"/>
        <v>6.3559051383318064</v>
      </c>
      <c r="AP225" s="157">
        <f t="shared" si="94"/>
        <v>6.6575369422038921</v>
      </c>
      <c r="AQ225" s="157">
        <f t="shared" si="94"/>
        <v>6.9557014652767215</v>
      </c>
      <c r="AR225" s="157">
        <f t="shared" si="94"/>
        <v>7.2987340013986231</v>
      </c>
      <c r="AS225" s="157">
        <f t="shared" si="94"/>
        <v>7.6368699232664898</v>
      </c>
      <c r="AT225" s="157">
        <f t="shared" si="94"/>
        <v>7.9703786730561674</v>
      </c>
      <c r="AU225" s="157">
        <f t="shared" si="94"/>
        <v>8.2995061743176457</v>
      </c>
      <c r="AV225" s="157">
        <f t="shared" si="94"/>
        <v>8.6401670189781807</v>
      </c>
    </row>
    <row r="226" spans="1:48">
      <c r="A226" s="185" t="s">
        <v>16</v>
      </c>
      <c r="B226" s="87" t="str">
        <f t="shared" si="93"/>
        <v>CNG</v>
      </c>
      <c r="C226" s="87" t="str">
        <f t="shared" si="93"/>
        <v>Commercial - Public lights</v>
      </c>
      <c r="E226" s="106"/>
      <c r="F226" s="106"/>
      <c r="I226" s="151"/>
      <c r="J226" s="157">
        <f t="shared" si="94"/>
        <v>0</v>
      </c>
      <c r="K226" s="157">
        <f t="shared" si="94"/>
        <v>0</v>
      </c>
      <c r="L226" s="157">
        <f t="shared" si="94"/>
        <v>0</v>
      </c>
      <c r="M226" s="157">
        <f t="shared" si="94"/>
        <v>0</v>
      </c>
      <c r="N226" s="157">
        <f t="shared" si="94"/>
        <v>0</v>
      </c>
      <c r="O226" s="157">
        <f t="shared" si="94"/>
        <v>0</v>
      </c>
      <c r="P226" s="157">
        <f t="shared" si="94"/>
        <v>0</v>
      </c>
      <c r="Q226" s="157">
        <f t="shared" si="94"/>
        <v>0</v>
      </c>
      <c r="R226" s="157">
        <f t="shared" si="94"/>
        <v>0</v>
      </c>
      <c r="S226" s="157">
        <f t="shared" si="94"/>
        <v>0</v>
      </c>
      <c r="T226" s="157">
        <f t="shared" si="94"/>
        <v>0</v>
      </c>
      <c r="U226" s="157">
        <f t="shared" si="94"/>
        <v>0</v>
      </c>
      <c r="V226" s="157">
        <f t="shared" si="94"/>
        <v>0</v>
      </c>
      <c r="W226" s="157">
        <f t="shared" si="94"/>
        <v>0</v>
      </c>
      <c r="X226" s="157">
        <f t="shared" si="94"/>
        <v>0</v>
      </c>
      <c r="Y226" s="157">
        <f t="shared" si="94"/>
        <v>0</v>
      </c>
      <c r="Z226" s="157">
        <f t="shared" si="94"/>
        <v>0</v>
      </c>
      <c r="AA226" s="157">
        <f t="shared" si="94"/>
        <v>0</v>
      </c>
      <c r="AB226" s="157">
        <f t="shared" si="94"/>
        <v>0</v>
      </c>
      <c r="AC226" s="157">
        <f t="shared" si="94"/>
        <v>0</v>
      </c>
      <c r="AD226" s="157">
        <f t="shared" si="94"/>
        <v>0</v>
      </c>
      <c r="AE226" s="157">
        <f t="shared" ref="AE226:AV228" si="95">AE192+AE203+AE214</f>
        <v>0</v>
      </c>
      <c r="AF226" s="157">
        <f t="shared" si="95"/>
        <v>0</v>
      </c>
      <c r="AG226" s="157">
        <f t="shared" si="95"/>
        <v>0</v>
      </c>
      <c r="AH226" s="157">
        <f t="shared" si="95"/>
        <v>0</v>
      </c>
      <c r="AI226" s="157">
        <f t="shared" si="95"/>
        <v>0</v>
      </c>
      <c r="AJ226" s="157">
        <f t="shared" si="95"/>
        <v>0</v>
      </c>
      <c r="AK226" s="157">
        <f t="shared" si="95"/>
        <v>0</v>
      </c>
      <c r="AL226" s="157">
        <f t="shared" si="95"/>
        <v>0</v>
      </c>
      <c r="AM226" s="157">
        <f t="shared" si="95"/>
        <v>0</v>
      </c>
      <c r="AN226" s="157">
        <f t="shared" si="95"/>
        <v>0</v>
      </c>
      <c r="AO226" s="157">
        <f t="shared" si="95"/>
        <v>0</v>
      </c>
      <c r="AP226" s="157">
        <f t="shared" si="95"/>
        <v>0</v>
      </c>
      <c r="AQ226" s="157">
        <f t="shared" si="95"/>
        <v>0</v>
      </c>
      <c r="AR226" s="157">
        <f t="shared" si="95"/>
        <v>0</v>
      </c>
      <c r="AS226" s="157">
        <f t="shared" si="95"/>
        <v>0</v>
      </c>
      <c r="AT226" s="157">
        <f t="shared" si="95"/>
        <v>0</v>
      </c>
      <c r="AU226" s="157">
        <f t="shared" si="95"/>
        <v>0</v>
      </c>
      <c r="AV226" s="157">
        <f t="shared" si="95"/>
        <v>0</v>
      </c>
    </row>
    <row r="227" spans="1:48">
      <c r="A227" s="185" t="s">
        <v>16</v>
      </c>
      <c r="B227" s="87" t="str">
        <f t="shared" si="93"/>
        <v>CNT</v>
      </c>
      <c r="C227" s="87" t="str">
        <f t="shared" si="93"/>
        <v>Commercial - Public Water</v>
      </c>
      <c r="E227" s="106"/>
      <c r="F227" s="106"/>
      <c r="I227" s="151"/>
      <c r="J227" s="157">
        <f t="shared" ref="J227:AV228" si="96">J193+J204+J215</f>
        <v>0</v>
      </c>
      <c r="K227" s="157">
        <f t="shared" si="96"/>
        <v>0</v>
      </c>
      <c r="L227" s="157">
        <f t="shared" si="96"/>
        <v>0</v>
      </c>
      <c r="M227" s="157">
        <f t="shared" si="96"/>
        <v>0</v>
      </c>
      <c r="N227" s="157">
        <f t="shared" si="96"/>
        <v>0</v>
      </c>
      <c r="O227" s="157">
        <f t="shared" si="96"/>
        <v>0</v>
      </c>
      <c r="P227" s="157">
        <f t="shared" si="96"/>
        <v>0</v>
      </c>
      <c r="Q227" s="157">
        <f t="shared" si="96"/>
        <v>0</v>
      </c>
      <c r="R227" s="157">
        <f t="shared" si="96"/>
        <v>0</v>
      </c>
      <c r="S227" s="157">
        <f t="shared" si="96"/>
        <v>0</v>
      </c>
      <c r="T227" s="157">
        <f t="shared" si="96"/>
        <v>0</v>
      </c>
      <c r="U227" s="157">
        <f t="shared" si="96"/>
        <v>0</v>
      </c>
      <c r="V227" s="157">
        <f t="shared" si="96"/>
        <v>0</v>
      </c>
      <c r="W227" s="157">
        <f t="shared" si="96"/>
        <v>0</v>
      </c>
      <c r="X227" s="157">
        <f t="shared" si="96"/>
        <v>0</v>
      </c>
      <c r="Y227" s="157">
        <f t="shared" si="96"/>
        <v>0</v>
      </c>
      <c r="Z227" s="157">
        <f t="shared" si="96"/>
        <v>0</v>
      </c>
      <c r="AA227" s="157">
        <f t="shared" si="96"/>
        <v>0</v>
      </c>
      <c r="AB227" s="157">
        <f t="shared" si="96"/>
        <v>0</v>
      </c>
      <c r="AC227" s="157">
        <f t="shared" si="96"/>
        <v>0</v>
      </c>
      <c r="AD227" s="157">
        <f t="shared" si="96"/>
        <v>0</v>
      </c>
      <c r="AE227" s="157">
        <f t="shared" si="96"/>
        <v>0</v>
      </c>
      <c r="AF227" s="157">
        <f t="shared" si="96"/>
        <v>0</v>
      </c>
      <c r="AG227" s="157">
        <f t="shared" si="96"/>
        <v>0</v>
      </c>
      <c r="AH227" s="157">
        <f t="shared" si="96"/>
        <v>0</v>
      </c>
      <c r="AI227" s="157">
        <f t="shared" si="95"/>
        <v>0</v>
      </c>
      <c r="AJ227" s="157">
        <f t="shared" si="95"/>
        <v>0</v>
      </c>
      <c r="AK227" s="157">
        <f t="shared" si="95"/>
        <v>0</v>
      </c>
      <c r="AL227" s="157">
        <f t="shared" si="95"/>
        <v>0</v>
      </c>
      <c r="AM227" s="157">
        <f t="shared" si="95"/>
        <v>0</v>
      </c>
      <c r="AN227" s="157">
        <f t="shared" si="95"/>
        <v>0</v>
      </c>
      <c r="AO227" s="157">
        <f t="shared" si="95"/>
        <v>0</v>
      </c>
      <c r="AP227" s="157">
        <f t="shared" si="95"/>
        <v>0</v>
      </c>
      <c r="AQ227" s="157">
        <f t="shared" si="95"/>
        <v>0</v>
      </c>
      <c r="AR227" s="157">
        <f t="shared" si="95"/>
        <v>0</v>
      </c>
      <c r="AS227" s="157">
        <f t="shared" si="96"/>
        <v>0</v>
      </c>
      <c r="AT227" s="157">
        <f t="shared" si="96"/>
        <v>0</v>
      </c>
      <c r="AU227" s="157">
        <f t="shared" si="96"/>
        <v>0</v>
      </c>
      <c r="AV227" s="157">
        <f t="shared" si="96"/>
        <v>0</v>
      </c>
    </row>
    <row r="228" spans="1:48">
      <c r="A228" s="185" t="s">
        <v>16</v>
      </c>
      <c r="B228" s="87" t="str">
        <f t="shared" si="93"/>
        <v>CNO</v>
      </c>
      <c r="C228" s="87" t="str">
        <f t="shared" si="93"/>
        <v>Commercial - Other</v>
      </c>
      <c r="E228" s="106"/>
      <c r="F228" s="106"/>
      <c r="I228" s="151"/>
      <c r="J228" s="157">
        <f t="shared" si="96"/>
        <v>0</v>
      </c>
      <c r="K228" s="157">
        <f t="shared" si="96"/>
        <v>0</v>
      </c>
      <c r="L228" s="157">
        <f t="shared" si="96"/>
        <v>0</v>
      </c>
      <c r="M228" s="157">
        <f t="shared" si="96"/>
        <v>0</v>
      </c>
      <c r="N228" s="157">
        <f t="shared" si="96"/>
        <v>0</v>
      </c>
      <c r="O228" s="157">
        <f t="shared" si="96"/>
        <v>0</v>
      </c>
      <c r="P228" s="157">
        <f t="shared" si="96"/>
        <v>0.22366371570704255</v>
      </c>
      <c r="Q228" s="157">
        <f t="shared" si="96"/>
        <v>0.46253228824653669</v>
      </c>
      <c r="R228" s="157">
        <f t="shared" si="96"/>
        <v>0.59852622221288887</v>
      </c>
      <c r="S228" s="157">
        <f t="shared" si="96"/>
        <v>0.87677806112649204</v>
      </c>
      <c r="T228" s="157">
        <f t="shared" si="96"/>
        <v>1.1514955356726129</v>
      </c>
      <c r="U228" s="157">
        <f t="shared" si="96"/>
        <v>1.4240178657136013</v>
      </c>
      <c r="V228" s="157">
        <f t="shared" si="96"/>
        <v>1.6923598046836066</v>
      </c>
      <c r="W228" s="157">
        <f t="shared" si="96"/>
        <v>1.9643510104257644</v>
      </c>
      <c r="X228" s="157">
        <f t="shared" si="96"/>
        <v>2.2582437507356836</v>
      </c>
      <c r="Y228" s="157">
        <f t="shared" si="96"/>
        <v>2.5486317136380867</v>
      </c>
      <c r="Z228" s="157">
        <f t="shared" si="96"/>
        <v>2.8442455041870032</v>
      </c>
      <c r="AA228" s="157">
        <f t="shared" si="96"/>
        <v>3.1431435040961606</v>
      </c>
      <c r="AB228" s="157">
        <f t="shared" si="96"/>
        <v>3.444876480185473</v>
      </c>
      <c r="AC228" s="157">
        <f t="shared" si="96"/>
        <v>3.7680031608343176</v>
      </c>
      <c r="AD228" s="157">
        <f t="shared" si="96"/>
        <v>4.0854651421632733</v>
      </c>
      <c r="AE228" s="157">
        <f t="shared" si="96"/>
        <v>4.4172059680604656</v>
      </c>
      <c r="AF228" s="157">
        <f t="shared" si="96"/>
        <v>4.7599933745689826</v>
      </c>
      <c r="AG228" s="157">
        <f t="shared" si="96"/>
        <v>5.1126395874053987</v>
      </c>
      <c r="AH228" s="157">
        <f t="shared" si="96"/>
        <v>5.4717700710808987</v>
      </c>
      <c r="AI228" s="157">
        <f t="shared" si="95"/>
        <v>5.8362385675024857</v>
      </c>
      <c r="AJ228" s="157">
        <f t="shared" si="95"/>
        <v>6.2009183376983179</v>
      </c>
      <c r="AK228" s="157">
        <f t="shared" si="95"/>
        <v>6.5712052581035252</v>
      </c>
      <c r="AL228" s="157">
        <f t="shared" si="95"/>
        <v>6.9518418719142163</v>
      </c>
      <c r="AM228" s="157">
        <f t="shared" si="95"/>
        <v>7.3528985389024824</v>
      </c>
      <c r="AN228" s="157">
        <f t="shared" si="95"/>
        <v>7.7487691517021169</v>
      </c>
      <c r="AO228" s="157">
        <f t="shared" si="95"/>
        <v>8.1397237849247723</v>
      </c>
      <c r="AP228" s="157">
        <f t="shared" si="95"/>
        <v>8.5260101618973181</v>
      </c>
      <c r="AQ228" s="157">
        <f t="shared" si="95"/>
        <v>8.9078561472377569</v>
      </c>
      <c r="AR228" s="157">
        <f t="shared" si="95"/>
        <v>9.347162592583377</v>
      </c>
      <c r="AS228" s="157">
        <f t="shared" si="96"/>
        <v>9.7801981627913541</v>
      </c>
      <c r="AT228" s="157">
        <f t="shared" si="96"/>
        <v>10.207307920420002</v>
      </c>
      <c r="AU228" s="157">
        <f t="shared" si="96"/>
        <v>10.628806808774092</v>
      </c>
      <c r="AV228" s="157">
        <f t="shared" si="96"/>
        <v>11.065075934811379</v>
      </c>
    </row>
    <row r="229" spans="1:48" ht="15.75" thickBot="1">
      <c r="A229" s="185" t="s">
        <v>16</v>
      </c>
      <c r="B229" s="85"/>
      <c r="C229" s="85"/>
      <c r="D229" s="85"/>
      <c r="E229" s="85"/>
      <c r="F229" s="85"/>
      <c r="G229" s="85"/>
      <c r="H229" s="85"/>
      <c r="I229" s="152"/>
      <c r="J229" s="85"/>
      <c r="K229" s="85"/>
      <c r="L229" s="85"/>
      <c r="M229" s="85"/>
      <c r="N229" s="85"/>
      <c r="O229" s="85"/>
      <c r="P229" s="85"/>
      <c r="Q229" s="85"/>
      <c r="R229" s="85"/>
      <c r="S229" s="85"/>
      <c r="T229" s="85"/>
      <c r="U229" s="85"/>
      <c r="V229" s="85"/>
      <c r="W229" s="85"/>
      <c r="X229" s="85"/>
      <c r="Y229" s="85"/>
      <c r="Z229" s="85"/>
      <c r="AA229" s="85"/>
      <c r="AB229" s="85"/>
      <c r="AC229" s="85"/>
      <c r="AD229" s="85"/>
      <c r="AE229" s="85"/>
      <c r="AF229" s="85"/>
      <c r="AG229" s="85"/>
      <c r="AH229" s="85"/>
      <c r="AI229" s="85"/>
      <c r="AJ229" s="85"/>
      <c r="AK229" s="85"/>
      <c r="AL229" s="85"/>
      <c r="AM229" s="85"/>
      <c r="AN229" s="85"/>
      <c r="AO229" s="85"/>
      <c r="AP229" s="85"/>
      <c r="AQ229" s="85"/>
      <c r="AR229" s="85"/>
      <c r="AS229" s="85"/>
      <c r="AT229" s="85"/>
      <c r="AU229" s="85"/>
      <c r="AV229" s="85"/>
    </row>
    <row r="230" spans="1:48">
      <c r="A230" s="185" t="s">
        <v>16</v>
      </c>
      <c r="E230" s="106"/>
      <c r="F230" s="106"/>
      <c r="I230" s="151"/>
      <c r="J230" s="94"/>
      <c r="K230" s="94"/>
      <c r="L230" s="94"/>
      <c r="M230" s="94"/>
      <c r="N230" s="94"/>
      <c r="O230" s="94"/>
      <c r="P230" s="94"/>
      <c r="Q230" s="94"/>
      <c r="R230" s="94"/>
      <c r="S230" s="94"/>
      <c r="T230" s="94"/>
      <c r="U230" s="94"/>
      <c r="V230" s="94"/>
      <c r="W230" s="94"/>
      <c r="X230" s="94"/>
      <c r="Y230" s="94"/>
      <c r="Z230" s="94"/>
      <c r="AA230" s="94"/>
      <c r="AB230" s="94"/>
      <c r="AC230" s="94"/>
      <c r="AD230" s="94"/>
      <c r="AE230" s="94"/>
      <c r="AF230" s="94"/>
      <c r="AG230" s="94"/>
      <c r="AH230" s="94"/>
      <c r="AI230" s="94"/>
      <c r="AJ230" s="94"/>
      <c r="AK230" s="94"/>
      <c r="AL230" s="94"/>
      <c r="AM230" s="94"/>
      <c r="AN230" s="94"/>
      <c r="AO230" s="94"/>
      <c r="AP230" s="94"/>
      <c r="AQ230" s="94"/>
      <c r="AR230" s="94"/>
      <c r="AS230" s="94"/>
      <c r="AT230" s="94"/>
      <c r="AU230" s="94"/>
      <c r="AV230" s="94"/>
    </row>
    <row r="231" spans="1:48" ht="15.75" thickBot="1">
      <c r="A231" s="185" t="s">
        <v>16</v>
      </c>
      <c r="B231" s="85" t="s">
        <v>500</v>
      </c>
      <c r="C231" s="85"/>
      <c r="E231" s="106"/>
      <c r="F231" s="106"/>
      <c r="I231" s="151"/>
      <c r="J231" s="94"/>
      <c r="K231" s="94"/>
      <c r="L231" s="94"/>
      <c r="M231" s="94"/>
      <c r="N231" s="94"/>
      <c r="O231" s="94"/>
      <c r="P231" s="94"/>
      <c r="Q231" s="94"/>
      <c r="R231" s="94"/>
      <c r="S231" s="94"/>
      <c r="T231" s="94"/>
      <c r="U231" s="94"/>
      <c r="V231" s="94"/>
      <c r="W231" s="94"/>
      <c r="X231" s="94"/>
      <c r="Y231" s="94"/>
      <c r="Z231" s="94"/>
      <c r="AA231" s="94"/>
      <c r="AB231" s="94"/>
      <c r="AC231" s="94"/>
      <c r="AD231" s="94"/>
      <c r="AE231" s="94"/>
      <c r="AF231" s="94"/>
      <c r="AG231" s="94"/>
      <c r="AH231" s="94"/>
      <c r="AI231" s="94"/>
      <c r="AJ231" s="94"/>
      <c r="AK231" s="94"/>
      <c r="AL231" s="94"/>
      <c r="AM231" s="94"/>
      <c r="AN231" s="94"/>
      <c r="AO231" s="94"/>
      <c r="AP231" s="94"/>
      <c r="AQ231" s="94"/>
      <c r="AR231" s="94"/>
      <c r="AS231" s="94"/>
      <c r="AT231" s="94"/>
      <c r="AU231" s="94"/>
      <c r="AV231" s="94"/>
    </row>
    <row r="232" spans="1:48">
      <c r="A232" s="185" t="s">
        <v>16</v>
      </c>
      <c r="E232" s="106"/>
      <c r="F232" s="106"/>
      <c r="I232" s="151"/>
      <c r="J232" s="94"/>
      <c r="K232" s="94"/>
      <c r="L232" s="94"/>
      <c r="M232" s="94"/>
      <c r="N232" s="94"/>
      <c r="O232" s="94"/>
      <c r="P232" s="94"/>
      <c r="Q232" s="94"/>
      <c r="R232" s="94"/>
      <c r="S232" s="94"/>
      <c r="T232" s="94"/>
      <c r="U232" s="94"/>
      <c r="V232" s="94"/>
      <c r="W232" s="94"/>
      <c r="X232" s="94"/>
      <c r="Y232" s="94"/>
      <c r="Z232" s="94"/>
      <c r="AA232" s="94"/>
      <c r="AB232" s="94"/>
      <c r="AC232" s="94"/>
      <c r="AD232" s="94"/>
      <c r="AE232" s="94"/>
      <c r="AF232" s="94"/>
      <c r="AG232" s="94"/>
      <c r="AH232" s="94"/>
      <c r="AI232" s="94"/>
      <c r="AJ232" s="94"/>
      <c r="AK232" s="94"/>
      <c r="AL232" s="94"/>
      <c r="AM232" s="94"/>
      <c r="AN232" s="94"/>
      <c r="AO232" s="94"/>
      <c r="AP232" s="94"/>
      <c r="AQ232" s="94"/>
      <c r="AR232" s="94"/>
      <c r="AS232" s="94"/>
      <c r="AT232" s="94"/>
      <c r="AU232" s="94"/>
      <c r="AV232" s="94"/>
    </row>
    <row r="233" spans="1:48">
      <c r="A233" s="185" t="s">
        <v>16</v>
      </c>
      <c r="B233" s="87" t="str">
        <f t="shared" ref="B233:C241" si="97">B162</f>
        <v>CEC</v>
      </c>
      <c r="C233" s="87" t="str">
        <f t="shared" si="97"/>
        <v>Commercial - Cooling</v>
      </c>
      <c r="E233" s="106"/>
      <c r="F233" s="106"/>
      <c r="I233" s="151"/>
      <c r="J233" s="94">
        <f t="shared" ref="J233:AV239" si="98">J162+J174+J151</f>
        <v>139.66439435388435</v>
      </c>
      <c r="K233" s="94">
        <f t="shared" si="98"/>
        <v>135.91206875329351</v>
      </c>
      <c r="L233" s="94">
        <f t="shared" si="98"/>
        <v>132.46001856592557</v>
      </c>
      <c r="M233" s="94">
        <f t="shared" si="98"/>
        <v>128.70532315183087</v>
      </c>
      <c r="N233" s="94">
        <f t="shared" si="98"/>
        <v>124.79103145901988</v>
      </c>
      <c r="O233" s="94">
        <f t="shared" si="98"/>
        <v>120.28334032399778</v>
      </c>
      <c r="P233" s="94">
        <f t="shared" si="98"/>
        <v>119.47615719794113</v>
      </c>
      <c r="Q233" s="94">
        <f t="shared" si="98"/>
        <v>118.6958707269869</v>
      </c>
      <c r="R233" s="94">
        <f t="shared" si="98"/>
        <v>117.73360400439491</v>
      </c>
      <c r="S233" s="94">
        <f t="shared" si="98"/>
        <v>117.02298462364368</v>
      </c>
      <c r="T233" s="94">
        <f t="shared" si="98"/>
        <v>116.30611312355676</v>
      </c>
      <c r="U233" s="94">
        <f t="shared" si="98"/>
        <v>115.58535851918907</v>
      </c>
      <c r="V233" s="94">
        <f t="shared" si="98"/>
        <v>114.85720900554546</v>
      </c>
      <c r="W233" s="94">
        <f t="shared" si="98"/>
        <v>114.1355148680247</v>
      </c>
      <c r="X233" s="94">
        <f t="shared" si="98"/>
        <v>113.45256348408415</v>
      </c>
      <c r="Y233" s="94">
        <f t="shared" si="98"/>
        <v>112.76341231870671</v>
      </c>
      <c r="Z233" s="94">
        <f t="shared" si="98"/>
        <v>112.0835053892587</v>
      </c>
      <c r="AA233" s="94">
        <f t="shared" si="98"/>
        <v>111.40940806705792</v>
      </c>
      <c r="AB233" s="94">
        <f t="shared" si="98"/>
        <v>110.74032568037288</v>
      </c>
      <c r="AC233" s="94">
        <f t="shared" si="98"/>
        <v>110.11486141193454</v>
      </c>
      <c r="AD233" s="94">
        <f t="shared" si="98"/>
        <v>109.47927534687243</v>
      </c>
      <c r="AE233" s="94">
        <f t="shared" si="98"/>
        <v>108.86920300329494</v>
      </c>
      <c r="AF233" s="94">
        <f t="shared" si="98"/>
        <v>108.27886890812601</v>
      </c>
      <c r="AG233" s="94">
        <f t="shared" si="98"/>
        <v>107.70615072281723</v>
      </c>
      <c r="AH233" s="94">
        <f t="shared" si="98"/>
        <v>107.14501876070941</v>
      </c>
      <c r="AI233" s="94">
        <f t="shared" si="98"/>
        <v>106.59342486520313</v>
      </c>
      <c r="AJ233" s="94">
        <f t="shared" si="98"/>
        <v>106.04220847784939</v>
      </c>
      <c r="AK233" s="94">
        <f t="shared" si="98"/>
        <v>105.50101105723209</v>
      </c>
      <c r="AL233" s="94">
        <f t="shared" si="98"/>
        <v>104.97830667320031</v>
      </c>
      <c r="AM233" s="94">
        <f t="shared" si="98"/>
        <v>104.50671405927272</v>
      </c>
      <c r="AN233" s="94">
        <f t="shared" si="98"/>
        <v>104.02566578815134</v>
      </c>
      <c r="AO233" s="94">
        <f t="shared" si="98"/>
        <v>103.5356542829486</v>
      </c>
      <c r="AP233" s="94">
        <f t="shared" si="98"/>
        <v>103.0371312140043</v>
      </c>
      <c r="AQ233" s="94">
        <f t="shared" si="98"/>
        <v>102.53051204356318</v>
      </c>
      <c r="AR233" s="94">
        <f t="shared" si="98"/>
        <v>102.12865969433958</v>
      </c>
      <c r="AS233" s="94">
        <f t="shared" si="98"/>
        <v>101.7153737496598</v>
      </c>
      <c r="AT233" s="94">
        <f t="shared" si="98"/>
        <v>101.29128335706906</v>
      </c>
      <c r="AU233" s="94">
        <f t="shared" si="98"/>
        <v>100.85696274811545</v>
      </c>
      <c r="AV233" s="94">
        <f t="shared" si="98"/>
        <v>100.44957249876138</v>
      </c>
    </row>
    <row r="234" spans="1:48">
      <c r="A234" s="185" t="s">
        <v>16</v>
      </c>
      <c r="B234" s="87" t="str">
        <f t="shared" si="97"/>
        <v>CEH</v>
      </c>
      <c r="C234" s="87" t="str">
        <f t="shared" si="97"/>
        <v>Commercial - Space Heating</v>
      </c>
      <c r="E234" s="106"/>
      <c r="F234" s="106"/>
      <c r="I234" s="151"/>
      <c r="J234" s="94">
        <f t="shared" si="98"/>
        <v>7.8517549075018991</v>
      </c>
      <c r="K234" s="94">
        <f t="shared" si="98"/>
        <v>8.5481458503642624</v>
      </c>
      <c r="L234" s="94">
        <f t="shared" si="98"/>
        <v>9.282962289600075</v>
      </c>
      <c r="M234" s="94">
        <f t="shared" si="98"/>
        <v>10.018335457385795</v>
      </c>
      <c r="N234" s="94">
        <f t="shared" si="98"/>
        <v>10.761970407471427</v>
      </c>
      <c r="O234" s="94">
        <f t="shared" si="98"/>
        <v>11.470981711368385</v>
      </c>
      <c r="P234" s="94">
        <f t="shared" si="98"/>
        <v>11.394003612391582</v>
      </c>
      <c r="Q234" s="94">
        <f t="shared" si="98"/>
        <v>11.319590548921324</v>
      </c>
      <c r="R234" s="94">
        <f t="shared" si="98"/>
        <v>11.227822695230378</v>
      </c>
      <c r="S234" s="94">
        <f t="shared" si="98"/>
        <v>11.160053527044788</v>
      </c>
      <c r="T234" s="94">
        <f t="shared" si="98"/>
        <v>11.091688117132261</v>
      </c>
      <c r="U234" s="94">
        <f t="shared" si="98"/>
        <v>11.022952389783685</v>
      </c>
      <c r="V234" s="94">
        <f t="shared" si="98"/>
        <v>10.953511437016253</v>
      </c>
      <c r="W234" s="94">
        <f t="shared" si="98"/>
        <v>10.884686109831264</v>
      </c>
      <c r="X234" s="94">
        <f t="shared" si="98"/>
        <v>10.819555537186426</v>
      </c>
      <c r="Y234" s="94">
        <f t="shared" si="98"/>
        <v>10.753833714088405</v>
      </c>
      <c r="Z234" s="94">
        <f t="shared" si="98"/>
        <v>10.688993479920295</v>
      </c>
      <c r="AA234" s="94">
        <f t="shared" si="98"/>
        <v>10.624707286721645</v>
      </c>
      <c r="AB234" s="94">
        <f t="shared" si="98"/>
        <v>10.560899349559364</v>
      </c>
      <c r="AC234" s="94">
        <f t="shared" si="98"/>
        <v>10.501251112612795</v>
      </c>
      <c r="AD234" s="94">
        <f t="shared" si="98"/>
        <v>10.440637596986363</v>
      </c>
      <c r="AE234" s="94">
        <f t="shared" si="98"/>
        <v>10.382457231551394</v>
      </c>
      <c r="AF234" s="94">
        <f t="shared" si="98"/>
        <v>10.326159230589337</v>
      </c>
      <c r="AG234" s="94">
        <f t="shared" si="98"/>
        <v>10.271541194444438</v>
      </c>
      <c r="AH234" s="94">
        <f t="shared" si="98"/>
        <v>10.21802809397961</v>
      </c>
      <c r="AI234" s="94">
        <f t="shared" si="98"/>
        <v>10.165424603999938</v>
      </c>
      <c r="AJ234" s="94">
        <f t="shared" si="98"/>
        <v>10.112857115590407</v>
      </c>
      <c r="AK234" s="94">
        <f t="shared" si="98"/>
        <v>10.061245099350931</v>
      </c>
      <c r="AL234" s="94">
        <f t="shared" si="98"/>
        <v>10.011396696292536</v>
      </c>
      <c r="AM234" s="94">
        <f t="shared" si="98"/>
        <v>9.9664226355871364</v>
      </c>
      <c r="AN234" s="94">
        <f t="shared" si="98"/>
        <v>9.9205468234800307</v>
      </c>
      <c r="AO234" s="94">
        <f t="shared" si="98"/>
        <v>9.8738162205602897</v>
      </c>
      <c r="AP234" s="94">
        <f t="shared" si="98"/>
        <v>9.8262739009742894</v>
      </c>
      <c r="AQ234" s="94">
        <f t="shared" si="98"/>
        <v>9.7779594858349625</v>
      </c>
      <c r="AR234" s="94">
        <f t="shared" si="98"/>
        <v>9.7396362987984375</v>
      </c>
      <c r="AS234" s="94">
        <f t="shared" si="98"/>
        <v>9.7002227316309693</v>
      </c>
      <c r="AT234" s="94">
        <f t="shared" si="98"/>
        <v>9.6597787838301201</v>
      </c>
      <c r="AU234" s="94">
        <f t="shared" si="98"/>
        <v>9.6183592177559056</v>
      </c>
      <c r="AV234" s="94">
        <f t="shared" si="98"/>
        <v>9.5795079014627049</v>
      </c>
    </row>
    <row r="235" spans="1:48">
      <c r="A235" s="185" t="s">
        <v>16</v>
      </c>
      <c r="B235" s="87" t="str">
        <f t="shared" si="97"/>
        <v>CEK</v>
      </c>
      <c r="C235" s="87" t="str">
        <f t="shared" si="97"/>
        <v>Commercial - Cooking</v>
      </c>
      <c r="E235" s="106"/>
      <c r="F235" s="106"/>
      <c r="I235" s="151"/>
      <c r="J235" s="94">
        <f t="shared" si="98"/>
        <v>9.8944997565297612</v>
      </c>
      <c r="K235" s="94">
        <f t="shared" si="98"/>
        <v>9.639891973427412</v>
      </c>
      <c r="L235" s="94">
        <f t="shared" si="98"/>
        <v>9.4068236837096606</v>
      </c>
      <c r="M235" s="94">
        <f t="shared" si="98"/>
        <v>9.1525319237345215</v>
      </c>
      <c r="N235" s="94">
        <f t="shared" si="98"/>
        <v>8.8871468025102622</v>
      </c>
      <c r="O235" s="94">
        <f t="shared" si="98"/>
        <v>8.579706769854079</v>
      </c>
      <c r="P235" s="94">
        <f t="shared" si="98"/>
        <v>8.5221310946817272</v>
      </c>
      <c r="Q235" s="94">
        <f t="shared" si="98"/>
        <v>8.4664739346856805</v>
      </c>
      <c r="R235" s="94">
        <f t="shared" si="98"/>
        <v>8.3978362805268461</v>
      </c>
      <c r="S235" s="94">
        <f t="shared" si="98"/>
        <v>8.3471484138996139</v>
      </c>
      <c r="T235" s="94">
        <f t="shared" si="98"/>
        <v>8.2960145890004728</v>
      </c>
      <c r="U235" s="94">
        <f t="shared" si="98"/>
        <v>8.2446037856270387</v>
      </c>
      <c r="V235" s="94">
        <f t="shared" si="98"/>
        <v>8.1926655097623495</v>
      </c>
      <c r="W235" s="94">
        <f t="shared" si="98"/>
        <v>8.1411876903006331</v>
      </c>
      <c r="X235" s="94">
        <f t="shared" si="98"/>
        <v>8.0924733579875081</v>
      </c>
      <c r="Y235" s="94">
        <f t="shared" si="98"/>
        <v>8.0433168006195892</v>
      </c>
      <c r="Z235" s="94">
        <f t="shared" si="98"/>
        <v>7.9948196266157501</v>
      </c>
      <c r="AA235" s="94">
        <f t="shared" si="98"/>
        <v>7.9467368468787738</v>
      </c>
      <c r="AB235" s="94">
        <f t="shared" si="98"/>
        <v>7.8990117781604559</v>
      </c>
      <c r="AC235" s="94">
        <f t="shared" si="98"/>
        <v>7.8543979521412606</v>
      </c>
      <c r="AD235" s="94">
        <f t="shared" si="98"/>
        <v>7.809062147111657</v>
      </c>
      <c r="AE235" s="94">
        <f t="shared" si="98"/>
        <v>7.7655462137979203</v>
      </c>
      <c r="AF235" s="94">
        <f t="shared" si="98"/>
        <v>7.7234381926941378</v>
      </c>
      <c r="AG235" s="94">
        <f t="shared" si="98"/>
        <v>7.6825866992248288</v>
      </c>
      <c r="AH235" s="94">
        <f t="shared" si="98"/>
        <v>7.6425616410487764</v>
      </c>
      <c r="AI235" s="94">
        <f t="shared" si="98"/>
        <v>7.6032169249248494</v>
      </c>
      <c r="AJ235" s="94">
        <f t="shared" si="98"/>
        <v>7.5638991361313668</v>
      </c>
      <c r="AK235" s="94">
        <f t="shared" si="98"/>
        <v>7.5252959915812552</v>
      </c>
      <c r="AL235" s="94">
        <f t="shared" si="98"/>
        <v>7.4880119393573157</v>
      </c>
      <c r="AM235" s="94">
        <f t="shared" si="98"/>
        <v>7.4543736455468066</v>
      </c>
      <c r="AN235" s="94">
        <f t="shared" si="98"/>
        <v>7.4200608878760503</v>
      </c>
      <c r="AO235" s="94">
        <f t="shared" si="98"/>
        <v>7.3851087904603148</v>
      </c>
      <c r="AP235" s="94">
        <f t="shared" si="98"/>
        <v>7.3495495705548102</v>
      </c>
      <c r="AQ235" s="94">
        <f t="shared" si="98"/>
        <v>7.3134128627225916</v>
      </c>
      <c r="AR235" s="94">
        <f t="shared" si="98"/>
        <v>7.2847490817548497</v>
      </c>
      <c r="AS235" s="94">
        <f t="shared" si="98"/>
        <v>7.2552697522990544</v>
      </c>
      <c r="AT235" s="94">
        <f t="shared" si="98"/>
        <v>7.225019750906176</v>
      </c>
      <c r="AU235" s="94">
        <f t="shared" si="98"/>
        <v>7.1940400370165474</v>
      </c>
      <c r="AV235" s="94">
        <f t="shared" si="98"/>
        <v>7.1649812424158927</v>
      </c>
    </row>
    <row r="236" spans="1:48">
      <c r="A236" s="185" t="s">
        <v>16</v>
      </c>
      <c r="B236" s="87" t="str">
        <f t="shared" si="97"/>
        <v>CEL</v>
      </c>
      <c r="C236" s="87" t="str">
        <f t="shared" si="97"/>
        <v>Commercial - Lighting</v>
      </c>
      <c r="E236" s="106"/>
      <c r="F236" s="106"/>
      <c r="I236" s="151"/>
      <c r="J236" s="94">
        <f t="shared" si="98"/>
        <v>121.54027190568891</v>
      </c>
      <c r="K236" s="94">
        <f t="shared" si="98"/>
        <v>118.27488221288776</v>
      </c>
      <c r="L236" s="94">
        <f t="shared" si="98"/>
        <v>115.2708014638481</v>
      </c>
      <c r="M236" s="94">
        <f t="shared" si="98"/>
        <v>112.00334948610346</v>
      </c>
      <c r="N236" s="94">
        <f t="shared" si="98"/>
        <v>108.59701189474154</v>
      </c>
      <c r="O236" s="94">
        <f t="shared" si="98"/>
        <v>104.67427977141128</v>
      </c>
      <c r="P236" s="94">
        <f t="shared" si="98"/>
        <v>103.97184407137146</v>
      </c>
      <c r="Q236" s="94">
        <f t="shared" si="98"/>
        <v>103.29281467176793</v>
      </c>
      <c r="R236" s="94">
        <f t="shared" si="98"/>
        <v>102.45542043359663</v>
      </c>
      <c r="S236" s="94">
        <f t="shared" si="98"/>
        <v>101.83701748875505</v>
      </c>
      <c r="T236" s="94">
        <f t="shared" si="98"/>
        <v>101.21317375646325</v>
      </c>
      <c r="U236" s="94">
        <f t="shared" si="98"/>
        <v>100.58595082682979</v>
      </c>
      <c r="V236" s="94">
        <f t="shared" si="98"/>
        <v>99.95229261862535</v>
      </c>
      <c r="W236" s="94">
        <f t="shared" si="98"/>
        <v>99.324252078208431</v>
      </c>
      <c r="X236" s="94">
        <f t="shared" si="98"/>
        <v>98.729926679193866</v>
      </c>
      <c r="Y236" s="94">
        <f t="shared" si="98"/>
        <v>98.130206038785943</v>
      </c>
      <c r="Z236" s="94">
        <f t="shared" si="98"/>
        <v>97.538530018151164</v>
      </c>
      <c r="AA236" s="94">
        <f t="shared" si="98"/>
        <v>96.951909697272654</v>
      </c>
      <c r="AB236" s="94">
        <f t="shared" si="98"/>
        <v>96.369653528252542</v>
      </c>
      <c r="AC236" s="94">
        <f t="shared" si="98"/>
        <v>95.825355193627104</v>
      </c>
      <c r="AD236" s="94">
        <f t="shared" si="98"/>
        <v>95.272248558793734</v>
      </c>
      <c r="AE236" s="94">
        <f t="shared" si="98"/>
        <v>94.741344752826762</v>
      </c>
      <c r="AF236" s="94">
        <f t="shared" si="98"/>
        <v>94.227617780580516</v>
      </c>
      <c r="AG236" s="94">
        <f t="shared" si="98"/>
        <v>93.72922071746514</v>
      </c>
      <c r="AH236" s="94">
        <f t="shared" si="98"/>
        <v>93.240906343819177</v>
      </c>
      <c r="AI236" s="94">
        <f t="shared" si="98"/>
        <v>92.760892290477273</v>
      </c>
      <c r="AJ236" s="94">
        <f t="shared" si="98"/>
        <v>92.281206756395534</v>
      </c>
      <c r="AK236" s="94">
        <f t="shared" si="98"/>
        <v>91.810240036776122</v>
      </c>
      <c r="AL236" s="94">
        <f t="shared" si="98"/>
        <v>91.355366529069158</v>
      </c>
      <c r="AM236" s="94">
        <f t="shared" si="98"/>
        <v>90.944972063173708</v>
      </c>
      <c r="AN236" s="94">
        <f t="shared" si="98"/>
        <v>90.526348992187494</v>
      </c>
      <c r="AO236" s="94">
        <f t="shared" si="98"/>
        <v>90.099925837919898</v>
      </c>
      <c r="AP236" s="94">
        <f t="shared" si="98"/>
        <v>89.666095657858222</v>
      </c>
      <c r="AQ236" s="94">
        <f t="shared" si="98"/>
        <v>89.22522000008658</v>
      </c>
      <c r="AR236" s="94">
        <f t="shared" si="98"/>
        <v>88.875515667665084</v>
      </c>
      <c r="AS236" s="94">
        <f t="shared" si="98"/>
        <v>88.515861467154224</v>
      </c>
      <c r="AT236" s="94">
        <f t="shared" si="98"/>
        <v>88.146804902189871</v>
      </c>
      <c r="AU236" s="94">
        <f t="shared" si="98"/>
        <v>87.768845686810252</v>
      </c>
      <c r="AV236" s="94">
        <f t="shared" si="98"/>
        <v>87.414322102561869</v>
      </c>
    </row>
    <row r="237" spans="1:48">
      <c r="A237" s="185" t="s">
        <v>16</v>
      </c>
      <c r="B237" s="87" t="str">
        <f t="shared" si="97"/>
        <v>CER</v>
      </c>
      <c r="C237" s="87" t="str">
        <f t="shared" si="97"/>
        <v>Commercial - Refrigeration</v>
      </c>
      <c r="E237" s="106"/>
      <c r="F237" s="106"/>
      <c r="I237" s="151"/>
      <c r="J237" s="94">
        <f t="shared" si="98"/>
        <v>29.566390373747055</v>
      </c>
      <c r="K237" s="94">
        <f t="shared" si="98"/>
        <v>28.772038140812398</v>
      </c>
      <c r="L237" s="94">
        <f t="shared" si="98"/>
        <v>28.041253004760659</v>
      </c>
      <c r="M237" s="94">
        <f t="shared" si="98"/>
        <v>27.246399091841703</v>
      </c>
      <c r="N237" s="94">
        <f t="shared" si="98"/>
        <v>26.417759288821308</v>
      </c>
      <c r="O237" s="94">
        <f t="shared" si="98"/>
        <v>25.463499211305457</v>
      </c>
      <c r="P237" s="94">
        <f t="shared" si="98"/>
        <v>25.292621791054586</v>
      </c>
      <c r="Q237" s="94">
        <f t="shared" si="98"/>
        <v>25.12743828447573</v>
      </c>
      <c r="R237" s="94">
        <f t="shared" si="98"/>
        <v>24.923730290785286</v>
      </c>
      <c r="S237" s="94">
        <f t="shared" si="98"/>
        <v>24.773295026911196</v>
      </c>
      <c r="T237" s="94">
        <f t="shared" si="98"/>
        <v>24.621536214527861</v>
      </c>
      <c r="U237" s="94">
        <f t="shared" si="98"/>
        <v>24.46895536459116</v>
      </c>
      <c r="V237" s="94">
        <f t="shared" si="98"/>
        <v>24.314809042112639</v>
      </c>
      <c r="W237" s="94">
        <f t="shared" si="98"/>
        <v>24.162029296787445</v>
      </c>
      <c r="X237" s="94">
        <f t="shared" si="98"/>
        <v>24.017451236521683</v>
      </c>
      <c r="Y237" s="94">
        <f t="shared" si="98"/>
        <v>23.871560707469278</v>
      </c>
      <c r="Z237" s="94">
        <f t="shared" si="98"/>
        <v>23.727627145970857</v>
      </c>
      <c r="AA237" s="94">
        <f t="shared" si="98"/>
        <v>23.5849234549529</v>
      </c>
      <c r="AB237" s="94">
        <f t="shared" si="98"/>
        <v>23.443281405607074</v>
      </c>
      <c r="AC237" s="94">
        <f t="shared" si="98"/>
        <v>23.310873136405537</v>
      </c>
      <c r="AD237" s="94">
        <f t="shared" si="98"/>
        <v>23.17632212358172</v>
      </c>
      <c r="AE237" s="94">
        <f t="shared" si="98"/>
        <v>23.04717226294699</v>
      </c>
      <c r="AF237" s="94">
        <f t="shared" si="98"/>
        <v>22.922200910087561</v>
      </c>
      <c r="AG237" s="94">
        <f t="shared" si="98"/>
        <v>22.800958774471539</v>
      </c>
      <c r="AH237" s="94">
        <f t="shared" si="98"/>
        <v>22.682169395692373</v>
      </c>
      <c r="AI237" s="94">
        <f t="shared" si="98"/>
        <v>22.565399187238299</v>
      </c>
      <c r="AJ237" s="94">
        <f t="shared" si="98"/>
        <v>22.448708895741291</v>
      </c>
      <c r="AK237" s="94">
        <f t="shared" si="98"/>
        <v>22.334139579193149</v>
      </c>
      <c r="AL237" s="94">
        <f t="shared" si="98"/>
        <v>22.223485164087222</v>
      </c>
      <c r="AM237" s="94">
        <f t="shared" si="98"/>
        <v>22.123650905074648</v>
      </c>
      <c r="AN237" s="94">
        <f t="shared" si="98"/>
        <v>22.021814921477052</v>
      </c>
      <c r="AO237" s="94">
        <f t="shared" si="98"/>
        <v>21.918081457286156</v>
      </c>
      <c r="AP237" s="94">
        <f t="shared" si="98"/>
        <v>21.812546129295704</v>
      </c>
      <c r="AQ237" s="94">
        <f t="shared" si="98"/>
        <v>21.70529688919137</v>
      </c>
      <c r="AR237" s="94">
        <f t="shared" si="98"/>
        <v>21.620226363631023</v>
      </c>
      <c r="AS237" s="94">
        <f t="shared" si="98"/>
        <v>21.532735391913324</v>
      </c>
      <c r="AT237" s="94">
        <f t="shared" si="98"/>
        <v>21.442957162042347</v>
      </c>
      <c r="AU237" s="94">
        <f t="shared" si="98"/>
        <v>21.35101323652653</v>
      </c>
      <c r="AV237" s="94">
        <f t="shared" si="98"/>
        <v>21.264770359789164</v>
      </c>
    </row>
    <row r="238" spans="1:48">
      <c r="A238" s="185" t="s">
        <v>16</v>
      </c>
      <c r="B238" s="87" t="str">
        <f t="shared" si="97"/>
        <v>CEW</v>
      </c>
      <c r="C238" s="87" t="str">
        <f t="shared" si="97"/>
        <v>Commercial - Water Heating</v>
      </c>
      <c r="E238" s="106"/>
      <c r="F238" s="106"/>
      <c r="I238" s="151"/>
      <c r="J238" s="94">
        <f t="shared" si="98"/>
        <v>9.6831090230750316</v>
      </c>
      <c r="K238" s="94">
        <f t="shared" si="98"/>
        <v>10.373780123530006</v>
      </c>
      <c r="L238" s="94">
        <f t="shared" si="98"/>
        <v>11.107846566457823</v>
      </c>
      <c r="M238" s="94">
        <f t="shared" si="98"/>
        <v>11.839343352056451</v>
      </c>
      <c r="N238" s="94">
        <f t="shared" si="98"/>
        <v>12.577835119303142</v>
      </c>
      <c r="O238" s="94">
        <f t="shared" si="98"/>
        <v>13.273861719969343</v>
      </c>
      <c r="P238" s="94">
        <f t="shared" si="98"/>
        <v>13.184785068380622</v>
      </c>
      <c r="Q238" s="94">
        <f t="shared" si="98"/>
        <v>13.098676595756643</v>
      </c>
      <c r="R238" s="94">
        <f t="shared" si="98"/>
        <v>12.992485701996889</v>
      </c>
      <c r="S238" s="94">
        <f t="shared" si="98"/>
        <v>12.914065337462496</v>
      </c>
      <c r="T238" s="94">
        <f t="shared" si="98"/>
        <v>12.834955020626357</v>
      </c>
      <c r="U238" s="94">
        <f t="shared" si="98"/>
        <v>12.755416184020746</v>
      </c>
      <c r="V238" s="94">
        <f t="shared" si="98"/>
        <v>12.675061282589395</v>
      </c>
      <c r="W238" s="94">
        <f t="shared" si="98"/>
        <v>12.595418763851894</v>
      </c>
      <c r="X238" s="94">
        <f t="shared" si="98"/>
        <v>12.520051699656058</v>
      </c>
      <c r="Y238" s="94">
        <f t="shared" si="98"/>
        <v>12.444000458904551</v>
      </c>
      <c r="Z238" s="94">
        <f t="shared" si="98"/>
        <v>12.368969365324741</v>
      </c>
      <c r="AA238" s="94">
        <f t="shared" si="98"/>
        <v>12.294579390648343</v>
      </c>
      <c r="AB238" s="94">
        <f t="shared" si="98"/>
        <v>12.220742838918058</v>
      </c>
      <c r="AC238" s="94">
        <f t="shared" si="98"/>
        <v>12.151719762341791</v>
      </c>
      <c r="AD238" s="94">
        <f t="shared" si="98"/>
        <v>12.081579695429379</v>
      </c>
      <c r="AE238" s="94">
        <f t="shared" si="98"/>
        <v>12.014255193914769</v>
      </c>
      <c r="AF238" s="94">
        <f t="shared" si="98"/>
        <v>11.949108905769227</v>
      </c>
      <c r="AG238" s="94">
        <f t="shared" si="98"/>
        <v>11.885906620433426</v>
      </c>
      <c r="AH238" s="94">
        <f t="shared" si="98"/>
        <v>11.823982932151978</v>
      </c>
      <c r="AI238" s="94">
        <f t="shared" si="98"/>
        <v>11.76311181671066</v>
      </c>
      <c r="AJ238" s="94">
        <f t="shared" si="98"/>
        <v>11.702282361161735</v>
      </c>
      <c r="AK238" s="94">
        <f t="shared" si="98"/>
        <v>11.642558548162135</v>
      </c>
      <c r="AL238" s="94">
        <f t="shared" si="98"/>
        <v>11.5848755332461</v>
      </c>
      <c r="AM238" s="94">
        <f t="shared" si="98"/>
        <v>11.532832955042235</v>
      </c>
      <c r="AN238" s="94">
        <f t="shared" si="98"/>
        <v>11.47974689828412</v>
      </c>
      <c r="AO238" s="94">
        <f t="shared" si="98"/>
        <v>11.425671704298527</v>
      </c>
      <c r="AP238" s="94">
        <f t="shared" si="98"/>
        <v>11.370657217142146</v>
      </c>
      <c r="AQ238" s="94">
        <f t="shared" si="98"/>
        <v>11.314749285129224</v>
      </c>
      <c r="AR238" s="94">
        <f t="shared" si="98"/>
        <v>11.270402890183167</v>
      </c>
      <c r="AS238" s="94">
        <f t="shared" si="98"/>
        <v>11.224794741409536</v>
      </c>
      <c r="AT238" s="94">
        <f t="shared" si="98"/>
        <v>11.17799426835272</v>
      </c>
      <c r="AU238" s="94">
        <f t="shared" si="98"/>
        <v>11.130064840305129</v>
      </c>
      <c r="AV238" s="94">
        <f t="shared" si="98"/>
        <v>11.085107310680298</v>
      </c>
    </row>
    <row r="239" spans="1:48">
      <c r="A239" s="185" t="s">
        <v>16</v>
      </c>
      <c r="B239" s="87" t="str">
        <f t="shared" si="97"/>
        <v>CEG</v>
      </c>
      <c r="C239" s="87" t="str">
        <f t="shared" si="97"/>
        <v>Commercial - Public lights</v>
      </c>
      <c r="E239" s="106"/>
      <c r="F239" s="106"/>
      <c r="I239" s="151"/>
      <c r="J239" s="94">
        <f t="shared" si="98"/>
        <v>10.30055287377321</v>
      </c>
      <c r="K239" s="94">
        <f t="shared" si="98"/>
        <v>10.023810698880988</v>
      </c>
      <c r="L239" s="94">
        <f t="shared" si="98"/>
        <v>9.7692144888562282</v>
      </c>
      <c r="M239" s="94">
        <f t="shared" si="98"/>
        <v>9.4922975350634147</v>
      </c>
      <c r="N239" s="94">
        <f t="shared" si="98"/>
        <v>9.2036100085703758</v>
      </c>
      <c r="O239" s="94">
        <f t="shared" si="98"/>
        <v>8.8711579824850144</v>
      </c>
      <c r="P239" s="94">
        <f t="shared" si="98"/>
        <v>8.9283467453532221</v>
      </c>
      <c r="Q239" s="94">
        <f t="shared" si="98"/>
        <v>8.995453942310931</v>
      </c>
      <c r="R239" s="94">
        <f t="shared" si="98"/>
        <v>8.995453942310931</v>
      </c>
      <c r="S239" s="94">
        <f t="shared" si="98"/>
        <v>9.0882516364607788</v>
      </c>
      <c r="T239" s="94">
        <f t="shared" si="98"/>
        <v>9.1787437936092946</v>
      </c>
      <c r="U239" s="94">
        <f t="shared" si="98"/>
        <v>9.2678040138227225</v>
      </c>
      <c r="V239" s="94">
        <f t="shared" si="98"/>
        <v>9.3541372808156904</v>
      </c>
      <c r="W239" s="94">
        <f t="shared" si="98"/>
        <v>9.4428510379608159</v>
      </c>
      <c r="X239" s="94">
        <f t="shared" si="98"/>
        <v>9.5458516068439963</v>
      </c>
      <c r="Y239" s="94">
        <f t="shared" si="98"/>
        <v>9.6465659388952307</v>
      </c>
      <c r="Z239" s="94">
        <f t="shared" si="98"/>
        <v>9.750689183483173</v>
      </c>
      <c r="AA239" s="94">
        <f t="shared" si="98"/>
        <v>9.8569547839271863</v>
      </c>
      <c r="AB239" s="94">
        <f t="shared" si="98"/>
        <v>9.9650696963836705</v>
      </c>
      <c r="AC239" s="94">
        <f t="shared" si="98"/>
        <v>10.089269264322065</v>
      </c>
      <c r="AD239" s="94">
        <f t="shared" si="98"/>
        <v>10.209736309673625</v>
      </c>
      <c r="AE239" s="94">
        <f t="shared" ref="K239:AV241" si="99">AE168+AE180+AE157</f>
        <v>10.339611817302737</v>
      </c>
      <c r="AF239" s="94">
        <f t="shared" si="99"/>
        <v>10.47676601870017</v>
      </c>
      <c r="AG239" s="94">
        <f t="shared" si="99"/>
        <v>10.620416278444232</v>
      </c>
      <c r="AH239" s="94">
        <f t="shared" si="99"/>
        <v>10.768339084002173</v>
      </c>
      <c r="AI239" s="94">
        <f t="shared" si="99"/>
        <v>10.919779155352776</v>
      </c>
      <c r="AJ239" s="94">
        <f t="shared" si="99"/>
        <v>11.071358436940297</v>
      </c>
      <c r="AK239" s="94">
        <f t="shared" si="99"/>
        <v>11.226632321475375</v>
      </c>
      <c r="AL239" s="94">
        <f t="shared" si="99"/>
        <v>11.38872571437644</v>
      </c>
      <c r="AM239" s="94">
        <f t="shared" si="99"/>
        <v>11.569667128380731</v>
      </c>
      <c r="AN239" s="94">
        <f t="shared" si="99"/>
        <v>11.74712166595774</v>
      </c>
      <c r="AO239" s="94">
        <f t="shared" si="99"/>
        <v>11.921270913485619</v>
      </c>
      <c r="AP239" s="94">
        <f t="shared" si="99"/>
        <v>12.092281429314415</v>
      </c>
      <c r="AQ239" s="94">
        <f t="shared" si="99"/>
        <v>12.260306419665319</v>
      </c>
      <c r="AR239" s="94">
        <f t="shared" si="99"/>
        <v>12.466965314754809</v>
      </c>
      <c r="AS239" s="94">
        <f t="shared" si="99"/>
        <v>12.66940794717126</v>
      </c>
      <c r="AT239" s="94">
        <f t="shared" si="99"/>
        <v>12.867866321914383</v>
      </c>
      <c r="AU239" s="94">
        <f t="shared" si="99"/>
        <v>13.062552193112735</v>
      </c>
      <c r="AV239" s="94">
        <f t="shared" si="99"/>
        <v>13.267168927300476</v>
      </c>
    </row>
    <row r="240" spans="1:48">
      <c r="A240" s="185" t="s">
        <v>16</v>
      </c>
      <c r="B240" s="87" t="str">
        <f t="shared" si="97"/>
        <v>CET</v>
      </c>
      <c r="C240" s="87" t="str">
        <f t="shared" si="97"/>
        <v>Commercial - Public Water</v>
      </c>
      <c r="E240" s="106"/>
      <c r="F240" s="106"/>
      <c r="I240" s="151"/>
      <c r="J240" s="94">
        <f t="shared" ref="J240:J241" si="100">J169+J181+J158</f>
        <v>3.5593512487513528</v>
      </c>
      <c r="K240" s="94">
        <f t="shared" si="99"/>
        <v>3.4637231190911666</v>
      </c>
      <c r="L240" s="94">
        <f t="shared" si="99"/>
        <v>3.3757475172779561</v>
      </c>
      <c r="M240" s="94">
        <f t="shared" si="99"/>
        <v>3.2800589928500612</v>
      </c>
      <c r="N240" s="94">
        <f t="shared" si="99"/>
        <v>3.1803031525069465</v>
      </c>
      <c r="O240" s="94">
        <f t="shared" si="99"/>
        <v>3.0654245097100388</v>
      </c>
      <c r="P240" s="94">
        <f t="shared" si="99"/>
        <v>3.0851860600873766</v>
      </c>
      <c r="Q240" s="94">
        <f t="shared" si="99"/>
        <v>3.1083749207455065</v>
      </c>
      <c r="R240" s="94">
        <f t="shared" si="99"/>
        <v>3.1083749207455065</v>
      </c>
      <c r="S240" s="94">
        <f t="shared" si="99"/>
        <v>3.14044112074478</v>
      </c>
      <c r="T240" s="94">
        <f t="shared" si="99"/>
        <v>3.1717106435068905</v>
      </c>
      <c r="U240" s="94">
        <f t="shared" si="99"/>
        <v>3.2024853611279087</v>
      </c>
      <c r="V240" s="94">
        <f t="shared" si="99"/>
        <v>3.2323177813334891</v>
      </c>
      <c r="W240" s="94">
        <f t="shared" si="99"/>
        <v>3.2629727788025966</v>
      </c>
      <c r="X240" s="94">
        <f t="shared" si="99"/>
        <v>3.2985645774146795</v>
      </c>
      <c r="Y240" s="94">
        <f t="shared" si="99"/>
        <v>3.3333663679541425</v>
      </c>
      <c r="Z240" s="94">
        <f t="shared" si="99"/>
        <v>3.3693461066331967</v>
      </c>
      <c r="AA240" s="94">
        <f t="shared" si="99"/>
        <v>3.4060661353806592</v>
      </c>
      <c r="AB240" s="94">
        <f t="shared" si="99"/>
        <v>3.4434251930328399</v>
      </c>
      <c r="AC240" s="94">
        <f t="shared" si="99"/>
        <v>3.4863422958964625</v>
      </c>
      <c r="AD240" s="94">
        <f t="shared" si="99"/>
        <v>3.5279696273183716</v>
      </c>
      <c r="AE240" s="94">
        <f t="shared" si="99"/>
        <v>3.5728480484989391</v>
      </c>
      <c r="AF240" s="94">
        <f t="shared" si="99"/>
        <v>3.6202416189215931</v>
      </c>
      <c r="AG240" s="94">
        <f t="shared" si="99"/>
        <v>3.6698798992808292</v>
      </c>
      <c r="AH240" s="94">
        <f t="shared" si="99"/>
        <v>3.7209945558564028</v>
      </c>
      <c r="AI240" s="94">
        <f t="shared" si="99"/>
        <v>3.7733246019887052</v>
      </c>
      <c r="AJ240" s="94">
        <f t="shared" si="99"/>
        <v>3.8257027521535454</v>
      </c>
      <c r="AK240" s="94">
        <f t="shared" si="99"/>
        <v>3.8793575706464041</v>
      </c>
      <c r="AL240" s="94">
        <f t="shared" si="99"/>
        <v>3.9353688670794096</v>
      </c>
      <c r="AM240" s="94">
        <f t="shared" si="99"/>
        <v>3.9978930884274515</v>
      </c>
      <c r="AN240" s="94">
        <f t="shared" si="99"/>
        <v>4.0592124212498222</v>
      </c>
      <c r="AO240" s="94">
        <f t="shared" si="99"/>
        <v>4.1193896126349294</v>
      </c>
      <c r="AP240" s="94">
        <f t="shared" si="99"/>
        <v>4.1784822167430686</v>
      </c>
      <c r="AQ240" s="94">
        <f t="shared" si="99"/>
        <v>4.2365431739126276</v>
      </c>
      <c r="AR240" s="94">
        <f t="shared" si="99"/>
        <v>4.3079540588734941</v>
      </c>
      <c r="AS240" s="94">
        <f t="shared" si="99"/>
        <v>4.3779080162311299</v>
      </c>
      <c r="AT240" s="94">
        <f t="shared" si="99"/>
        <v>4.4464852152051444</v>
      </c>
      <c r="AU240" s="94">
        <f t="shared" si="99"/>
        <v>4.5137588273360496</v>
      </c>
      <c r="AV240" s="94">
        <f t="shared" si="99"/>
        <v>4.5844640445483158</v>
      </c>
    </row>
    <row r="241" spans="1:48">
      <c r="A241" s="185" t="s">
        <v>16</v>
      </c>
      <c r="B241" s="87" t="str">
        <f t="shared" si="97"/>
        <v>CEO</v>
      </c>
      <c r="C241" s="87" t="str">
        <f t="shared" si="97"/>
        <v>Commercial - Other</v>
      </c>
      <c r="E241" s="106"/>
      <c r="F241" s="106"/>
      <c r="I241" s="151"/>
      <c r="J241" s="94">
        <f t="shared" si="100"/>
        <v>18.760184357078931</v>
      </c>
      <c r="K241" s="94">
        <f t="shared" si="99"/>
        <v>18.418479080845469</v>
      </c>
      <c r="L241" s="94">
        <f t="shared" si="99"/>
        <v>18.120961991998936</v>
      </c>
      <c r="M241" s="94">
        <f t="shared" si="99"/>
        <v>17.785935979440417</v>
      </c>
      <c r="N241" s="94">
        <f t="shared" si="99"/>
        <v>17.432555568363497</v>
      </c>
      <c r="O241" s="94">
        <f t="shared" si="99"/>
        <v>16.999241745794041</v>
      </c>
      <c r="P241" s="94">
        <f t="shared" si="99"/>
        <v>16.885165257262866</v>
      </c>
      <c r="Q241" s="94">
        <f t="shared" si="99"/>
        <v>16.774889982939797</v>
      </c>
      <c r="R241" s="94">
        <f t="shared" si="99"/>
        <v>16.638896048973443</v>
      </c>
      <c r="S241" s="94">
        <f t="shared" si="99"/>
        <v>16.538466591243903</v>
      </c>
      <c r="T241" s="94">
        <f t="shared" si="99"/>
        <v>16.437153542422493</v>
      </c>
      <c r="U241" s="94">
        <f t="shared" si="99"/>
        <v>16.335291707474802</v>
      </c>
      <c r="V241" s="94">
        <f t="shared" si="99"/>
        <v>16.23238477475936</v>
      </c>
      <c r="W241" s="94">
        <f t="shared" si="99"/>
        <v>16.130390158736962</v>
      </c>
      <c r="X241" s="94">
        <f t="shared" si="99"/>
        <v>16.033870926356499</v>
      </c>
      <c r="Y241" s="94">
        <f t="shared" si="99"/>
        <v>15.93647549962416</v>
      </c>
      <c r="Z241" s="94">
        <f t="shared" si="99"/>
        <v>15.840386529803448</v>
      </c>
      <c r="AA241" s="94">
        <f t="shared" si="99"/>
        <v>15.745118612322797</v>
      </c>
      <c r="AB241" s="94">
        <f t="shared" si="99"/>
        <v>15.650559438887184</v>
      </c>
      <c r="AC241" s="94">
        <f t="shared" si="99"/>
        <v>15.56216466805774</v>
      </c>
      <c r="AD241" s="94">
        <f t="shared" si="99"/>
        <v>15.472339417602061</v>
      </c>
      <c r="AE241" s="94">
        <f t="shared" si="99"/>
        <v>15.386119935976746</v>
      </c>
      <c r="AF241" s="94">
        <f t="shared" si="99"/>
        <v>15.302689994909844</v>
      </c>
      <c r="AG241" s="94">
        <f t="shared" si="99"/>
        <v>15.221749651400494</v>
      </c>
      <c r="AH241" s="94">
        <f t="shared" si="99"/>
        <v>15.142446750022225</v>
      </c>
      <c r="AI241" s="94">
        <f t="shared" si="99"/>
        <v>15.064491831660645</v>
      </c>
      <c r="AJ241" s="94">
        <f t="shared" si="99"/>
        <v>14.986590265262256</v>
      </c>
      <c r="AK241" s="94">
        <f t="shared" si="99"/>
        <v>14.910104645886436</v>
      </c>
      <c r="AL241" s="94">
        <f t="shared" si="99"/>
        <v>14.836232585451398</v>
      </c>
      <c r="AM241" s="94">
        <f t="shared" si="99"/>
        <v>14.769583980348713</v>
      </c>
      <c r="AN241" s="94">
        <f t="shared" si="99"/>
        <v>14.70159903887501</v>
      </c>
      <c r="AO241" s="94">
        <f t="shared" si="99"/>
        <v>14.632347353539997</v>
      </c>
      <c r="AP241" s="94">
        <f t="shared" si="99"/>
        <v>14.56189275740048</v>
      </c>
      <c r="AQ241" s="94">
        <f t="shared" si="99"/>
        <v>14.490293966344428</v>
      </c>
      <c r="AR241" s="94">
        <f t="shared" si="99"/>
        <v>14.433501519342483</v>
      </c>
      <c r="AS241" s="94">
        <f t="shared" si="99"/>
        <v>14.375093200577588</v>
      </c>
      <c r="AT241" s="94">
        <f t="shared" si="99"/>
        <v>14.315157925365742</v>
      </c>
      <c r="AU241" s="94">
        <f t="shared" si="99"/>
        <v>14.253776847928957</v>
      </c>
      <c r="AV241" s="94">
        <f t="shared" si="99"/>
        <v>14.196201748044011</v>
      </c>
    </row>
    <row r="242" spans="1:48">
      <c r="A242" s="185" t="s">
        <v>16</v>
      </c>
      <c r="E242" s="106"/>
      <c r="F242" s="106"/>
      <c r="J242" s="88"/>
      <c r="K242" s="89"/>
      <c r="L242" s="89"/>
      <c r="M242" s="89"/>
      <c r="N242" s="89"/>
      <c r="O242" s="89"/>
      <c r="P242" s="89"/>
      <c r="Q242" s="89"/>
      <c r="R242" s="89"/>
      <c r="S242" s="89"/>
      <c r="T242" s="89"/>
      <c r="U242" s="89"/>
      <c r="V242" s="89"/>
      <c r="W242" s="89"/>
      <c r="X242" s="89"/>
      <c r="Y242" s="89"/>
      <c r="Z242" s="89"/>
      <c r="AA242" s="89"/>
      <c r="AB242" s="89"/>
      <c r="AC242" s="89"/>
      <c r="AD242" s="89"/>
      <c r="AE242" s="89"/>
      <c r="AF242" s="89"/>
      <c r="AG242" s="89"/>
      <c r="AH242" s="89"/>
      <c r="AI242" s="89"/>
      <c r="AJ242" s="89"/>
      <c r="AK242" s="89"/>
      <c r="AL242" s="89"/>
      <c r="AM242" s="89"/>
      <c r="AN242" s="89"/>
      <c r="AO242" s="89"/>
      <c r="AP242" s="89"/>
      <c r="AQ242" s="89"/>
      <c r="AR242" s="89"/>
      <c r="AS242" s="89"/>
      <c r="AT242" s="89"/>
      <c r="AU242" s="89"/>
      <c r="AV242" s="89"/>
    </row>
    <row r="243" spans="1:48">
      <c r="A243" s="185" t="s">
        <v>16</v>
      </c>
      <c r="E243" s="106"/>
      <c r="F243" s="106"/>
      <c r="J243" s="88"/>
      <c r="K243" s="89"/>
      <c r="L243" s="89"/>
      <c r="M243" s="89"/>
      <c r="N243" s="89"/>
      <c r="O243" s="89"/>
      <c r="P243" s="89"/>
      <c r="Q243" s="89"/>
      <c r="R243" s="89"/>
      <c r="S243" s="89"/>
      <c r="T243" s="89"/>
      <c r="U243" s="89"/>
      <c r="V243" s="89"/>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row>
    <row r="244" spans="1:48">
      <c r="A244" s="185" t="s">
        <v>16</v>
      </c>
      <c r="E244" s="106"/>
      <c r="F244" s="106"/>
      <c r="J244" s="88"/>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row>
    <row r="245" spans="1:48">
      <c r="A245" s="185" t="s">
        <v>16</v>
      </c>
      <c r="B245" s="271" t="s">
        <v>481</v>
      </c>
      <c r="C245" s="272"/>
      <c r="D245" s="272"/>
      <c r="E245" s="273"/>
      <c r="F245" s="273"/>
      <c r="G245" s="272"/>
      <c r="H245" s="272"/>
      <c r="I245" s="272"/>
      <c r="J245" s="162">
        <f t="shared" ref="J245:AV245" si="101">SUM(J220:J241)</f>
        <v>350.82050880003044</v>
      </c>
      <c r="K245" s="162">
        <f t="shared" si="101"/>
        <v>343.42681995313302</v>
      </c>
      <c r="L245" s="162">
        <f t="shared" si="101"/>
        <v>336.83562957243498</v>
      </c>
      <c r="M245" s="162">
        <f t="shared" si="101"/>
        <v>329.5235749703067</v>
      </c>
      <c r="N245" s="162">
        <f t="shared" si="101"/>
        <v>321.8492237013084</v>
      </c>
      <c r="O245" s="162">
        <f t="shared" si="101"/>
        <v>312.68149374589541</v>
      </c>
      <c r="P245" s="162">
        <f t="shared" si="101"/>
        <v>314.69722470620707</v>
      </c>
      <c r="Q245" s="162">
        <f t="shared" si="101"/>
        <v>317.06255047622096</v>
      </c>
      <c r="R245" s="162">
        <f t="shared" si="101"/>
        <v>317.06255047622102</v>
      </c>
      <c r="S245" s="162">
        <f t="shared" si="101"/>
        <v>320.33338858779979</v>
      </c>
      <c r="T245" s="162">
        <f t="shared" si="101"/>
        <v>323.52296349170206</v>
      </c>
      <c r="U245" s="162">
        <f t="shared" si="101"/>
        <v>326.66206694861887</v>
      </c>
      <c r="V245" s="162">
        <f t="shared" si="101"/>
        <v>329.70505355043809</v>
      </c>
      <c r="W245" s="162">
        <f t="shared" si="101"/>
        <v>332.8319452318529</v>
      </c>
      <c r="X245" s="162">
        <f t="shared" si="101"/>
        <v>336.46240382572046</v>
      </c>
      <c r="Y245" s="162">
        <f t="shared" si="101"/>
        <v>340.01227948452129</v>
      </c>
      <c r="Z245" s="162">
        <f t="shared" si="101"/>
        <v>343.68230900216804</v>
      </c>
      <c r="AA245" s="162">
        <f t="shared" si="101"/>
        <v>347.42785008555774</v>
      </c>
      <c r="AB245" s="162">
        <f t="shared" si="101"/>
        <v>351.23857382532719</v>
      </c>
      <c r="AC245" s="162">
        <f t="shared" si="101"/>
        <v>355.55848909989709</v>
      </c>
      <c r="AD245" s="162">
        <f t="shared" si="101"/>
        <v>359.74785654262979</v>
      </c>
      <c r="AE245" s="162">
        <f t="shared" si="101"/>
        <v>364.26629214842984</v>
      </c>
      <c r="AF245" s="162">
        <f t="shared" si="101"/>
        <v>369.03930563499392</v>
      </c>
      <c r="AG245" s="162">
        <f t="shared" si="101"/>
        <v>374.03952372994621</v>
      </c>
      <c r="AH245" s="162">
        <f t="shared" si="101"/>
        <v>379.18917738207176</v>
      </c>
      <c r="AI245" s="162">
        <f t="shared" ref="AI245:AR245" si="102">SUM(AI220:AI241)</f>
        <v>384.46185009504586</v>
      </c>
      <c r="AJ245" s="162">
        <f t="shared" si="102"/>
        <v>389.73939179251386</v>
      </c>
      <c r="AK245" s="162">
        <f t="shared" si="102"/>
        <v>395.14615505343727</v>
      </c>
      <c r="AL245" s="162">
        <f t="shared" si="102"/>
        <v>400.79143583452651</v>
      </c>
      <c r="AM245" s="162">
        <f t="shared" si="102"/>
        <v>406.95113728781968</v>
      </c>
      <c r="AN245" s="162">
        <f t="shared" si="102"/>
        <v>412.99075501930929</v>
      </c>
      <c r="AO245" s="162">
        <f t="shared" si="102"/>
        <v>418.91654263980467</v>
      </c>
      <c r="AP245" s="162">
        <f t="shared" si="102"/>
        <v>424.73423621337037</v>
      </c>
      <c r="AQ245" s="162">
        <f t="shared" si="102"/>
        <v>430.44911197322779</v>
      </c>
      <c r="AR245" s="162">
        <f t="shared" si="102"/>
        <v>437.49449174306818</v>
      </c>
      <c r="AS245" s="162">
        <f t="shared" si="101"/>
        <v>444.39466862876884</v>
      </c>
      <c r="AT245" s="162">
        <f t="shared" si="101"/>
        <v>451.15763259625612</v>
      </c>
      <c r="AU245" s="162">
        <f t="shared" si="101"/>
        <v>457.7906761964399</v>
      </c>
      <c r="AV245" s="162">
        <f t="shared" si="101"/>
        <v>464.76572646458516</v>
      </c>
    </row>
    <row r="246" spans="1:48">
      <c r="A246" s="185" t="s">
        <v>16</v>
      </c>
      <c r="K246" s="87"/>
    </row>
    <row r="247" spans="1:48" s="185" customFormat="1" ht="23.25">
      <c r="A247" s="185" t="s">
        <v>16</v>
      </c>
      <c r="B247" s="16" t="s">
        <v>18</v>
      </c>
      <c r="C247" s="16" t="s">
        <v>19</v>
      </c>
      <c r="D247" s="16" t="s">
        <v>20</v>
      </c>
      <c r="E247" s="16" t="s">
        <v>21</v>
      </c>
      <c r="F247" s="16" t="s">
        <v>22</v>
      </c>
      <c r="G247" s="16" t="s">
        <v>23</v>
      </c>
      <c r="H247" s="16" t="s">
        <v>24</v>
      </c>
      <c r="I247" s="17" t="s">
        <v>25</v>
      </c>
      <c r="J247" s="163">
        <v>2012</v>
      </c>
      <c r="K247" s="163">
        <v>2013</v>
      </c>
      <c r="L247" s="163">
        <v>2014</v>
      </c>
      <c r="M247" s="163">
        <v>2015</v>
      </c>
      <c r="N247" s="163">
        <v>2016</v>
      </c>
      <c r="O247" s="163">
        <v>2017</v>
      </c>
      <c r="P247" s="163">
        <v>2018</v>
      </c>
      <c r="Q247" s="163">
        <v>2019</v>
      </c>
      <c r="R247" s="163">
        <v>2020</v>
      </c>
      <c r="S247" s="163">
        <v>2021</v>
      </c>
      <c r="T247" s="163">
        <v>2022</v>
      </c>
      <c r="U247" s="163">
        <v>2023</v>
      </c>
      <c r="V247" s="163">
        <v>2024</v>
      </c>
      <c r="W247" s="163">
        <v>2025</v>
      </c>
      <c r="X247" s="163">
        <v>2026</v>
      </c>
      <c r="Y247" s="163">
        <v>2027</v>
      </c>
      <c r="Z247" s="163">
        <v>2028</v>
      </c>
      <c r="AA247" s="163">
        <v>2029</v>
      </c>
      <c r="AB247" s="163">
        <v>2030</v>
      </c>
      <c r="AC247" s="163">
        <v>2031</v>
      </c>
      <c r="AD247" s="163">
        <v>2032</v>
      </c>
      <c r="AE247" s="163">
        <v>2033</v>
      </c>
      <c r="AF247" s="163">
        <v>2034</v>
      </c>
      <c r="AG247" s="163">
        <v>2035</v>
      </c>
      <c r="AH247" s="163">
        <v>2036</v>
      </c>
      <c r="AI247" s="163">
        <v>2037</v>
      </c>
      <c r="AJ247" s="163">
        <v>2038</v>
      </c>
      <c r="AK247" s="163">
        <v>2039</v>
      </c>
      <c r="AL247" s="163">
        <v>2040</v>
      </c>
      <c r="AM247" s="163">
        <v>2045</v>
      </c>
      <c r="AN247" s="163">
        <v>2050</v>
      </c>
      <c r="AO247" s="163">
        <v>2060</v>
      </c>
      <c r="AP247" s="163">
        <v>2070</v>
      </c>
      <c r="AQ247" s="163"/>
      <c r="AR247" s="18"/>
      <c r="AS247" s="18"/>
      <c r="AT247" s="18"/>
      <c r="AU247" s="18"/>
      <c r="AV247" s="18"/>
    </row>
    <row r="248" spans="1:48" s="185" customFormat="1">
      <c r="A248" s="185" t="s">
        <v>125</v>
      </c>
      <c r="B248" s="22" t="str">
        <f t="shared" ref="B248:B256" si="103">IF(A248="*","","COM_PROJ")</f>
        <v>COM_PROJ</v>
      </c>
      <c r="C248" s="23" t="str">
        <f t="shared" ref="C248:C266" si="104">IF($A248="*","","-")</f>
        <v>-</v>
      </c>
      <c r="D248" s="22" t="str">
        <f>COM!B162</f>
        <v>CEC</v>
      </c>
      <c r="E248" s="23" t="str">
        <f t="shared" ref="E248:H263" si="105">IF($A248="*","","-")</f>
        <v>-</v>
      </c>
      <c r="F248" s="23" t="str">
        <f t="shared" si="105"/>
        <v>-</v>
      </c>
      <c r="G248" s="23" t="str">
        <f t="shared" si="105"/>
        <v>-</v>
      </c>
      <c r="H248" s="23" t="str">
        <f t="shared" si="105"/>
        <v>-</v>
      </c>
      <c r="I248" s="22">
        <f t="shared" ref="I248:I266" si="106">IF(A248="*","",0)</f>
        <v>0</v>
      </c>
      <c r="J248" s="10">
        <f t="shared" ref="J248:Y256" si="107">INDEX($J$233:$AV$241,MATCH($D248,$B$233:$B$241,0),MATCH(J$247,$J$104:$AV$104,0))</f>
        <v>139.66439435388435</v>
      </c>
      <c r="K248" s="10">
        <f t="shared" si="107"/>
        <v>135.91206875329351</v>
      </c>
      <c r="L248" s="10">
        <f t="shared" si="107"/>
        <v>132.46001856592557</v>
      </c>
      <c r="M248" s="10">
        <f t="shared" si="107"/>
        <v>128.70532315183087</v>
      </c>
      <c r="N248" s="10">
        <f t="shared" si="107"/>
        <v>124.79103145901988</v>
      </c>
      <c r="O248" s="10">
        <f t="shared" si="107"/>
        <v>120.28334032399778</v>
      </c>
      <c r="P248" s="10">
        <f t="shared" si="107"/>
        <v>119.47615719794113</v>
      </c>
      <c r="Q248" s="10">
        <f t="shared" si="107"/>
        <v>118.6958707269869</v>
      </c>
      <c r="R248" s="10">
        <f t="shared" si="107"/>
        <v>117.73360400439491</v>
      </c>
      <c r="S248" s="10">
        <f t="shared" si="107"/>
        <v>117.02298462364368</v>
      </c>
      <c r="T248" s="10">
        <f t="shared" si="107"/>
        <v>116.30611312355676</v>
      </c>
      <c r="U248" s="10">
        <f t="shared" si="107"/>
        <v>115.58535851918907</v>
      </c>
      <c r="V248" s="10">
        <f t="shared" si="107"/>
        <v>114.85720900554546</v>
      </c>
      <c r="W248" s="10">
        <f t="shared" si="107"/>
        <v>114.1355148680247</v>
      </c>
      <c r="X248" s="10">
        <f t="shared" si="107"/>
        <v>113.45256348408415</v>
      </c>
      <c r="Y248" s="10">
        <f t="shared" si="107"/>
        <v>112.76341231870671</v>
      </c>
      <c r="Z248" s="10">
        <f t="shared" ref="Z248:AN256" si="108">INDEX($J$233:$AV$241,MATCH($D248,$B$233:$B$241,0),MATCH(Z$247,$J$104:$AV$104,0))</f>
        <v>112.0835053892587</v>
      </c>
      <c r="AA248" s="10">
        <f t="shared" si="108"/>
        <v>111.40940806705792</v>
      </c>
      <c r="AB248" s="10">
        <f t="shared" si="108"/>
        <v>110.74032568037288</v>
      </c>
      <c r="AC248" s="10">
        <f t="shared" si="108"/>
        <v>110.11486141193454</v>
      </c>
      <c r="AD248" s="10">
        <f t="shared" si="108"/>
        <v>109.47927534687243</v>
      </c>
      <c r="AE248" s="10">
        <f t="shared" si="108"/>
        <v>108.86920300329494</v>
      </c>
      <c r="AF248" s="10">
        <f t="shared" si="108"/>
        <v>108.27886890812601</v>
      </c>
      <c r="AG248" s="10">
        <f t="shared" si="108"/>
        <v>107.70615072281723</v>
      </c>
      <c r="AH248" s="10">
        <f t="shared" si="108"/>
        <v>107.14501876070941</v>
      </c>
      <c r="AI248" s="10">
        <f t="shared" si="108"/>
        <v>106.59342486520313</v>
      </c>
      <c r="AJ248" s="10">
        <f t="shared" si="108"/>
        <v>106.04220847784939</v>
      </c>
      <c r="AK248" s="10">
        <f t="shared" si="108"/>
        <v>105.50101105723209</v>
      </c>
      <c r="AL248" s="10">
        <f t="shared" si="108"/>
        <v>104.97830667320031</v>
      </c>
      <c r="AM248" s="10">
        <f>INDEX($J$233:$AV$241,MATCH($D248,$B$233:$B$241,0),MATCH(AM$247,$J$104:$AV$104,0))</f>
        <v>102.53051204356318</v>
      </c>
      <c r="AN248" s="10">
        <f>INDEX($J$233:$AV$241,MATCH($D248,$B$233:$B$241,0),MATCH(AN$247,$J$104:$AV$104,0))</f>
        <v>100.44957249876138</v>
      </c>
      <c r="AO248" s="186">
        <f>AN248</f>
        <v>100.44957249876138</v>
      </c>
      <c r="AP248" s="186">
        <f>AO248</f>
        <v>100.44957249876138</v>
      </c>
      <c r="AQ248" s="186"/>
      <c r="AR248" s="186"/>
      <c r="AS248" s="186"/>
      <c r="AT248" s="186"/>
      <c r="AU248" s="186"/>
      <c r="AV248" s="186"/>
    </row>
    <row r="249" spans="1:48" s="185" customFormat="1">
      <c r="A249" s="185" t="s">
        <v>125</v>
      </c>
      <c r="B249" s="22" t="str">
        <f t="shared" si="103"/>
        <v>COM_PROJ</v>
      </c>
      <c r="C249" s="23" t="str">
        <f t="shared" si="104"/>
        <v>-</v>
      </c>
      <c r="D249" s="22" t="str">
        <f>COM!B163</f>
        <v>CEH</v>
      </c>
      <c r="E249" s="23" t="str">
        <f t="shared" si="105"/>
        <v>-</v>
      </c>
      <c r="F249" s="23" t="str">
        <f t="shared" si="105"/>
        <v>-</v>
      </c>
      <c r="G249" s="23" t="str">
        <f t="shared" si="105"/>
        <v>-</v>
      </c>
      <c r="H249" s="23" t="str">
        <f t="shared" si="105"/>
        <v>-</v>
      </c>
      <c r="I249" s="22">
        <f t="shared" si="106"/>
        <v>0</v>
      </c>
      <c r="J249" s="10">
        <f t="shared" si="107"/>
        <v>7.8517549075018991</v>
      </c>
      <c r="K249" s="10">
        <f t="shared" si="107"/>
        <v>8.5481458503642624</v>
      </c>
      <c r="L249" s="10">
        <f t="shared" si="107"/>
        <v>9.282962289600075</v>
      </c>
      <c r="M249" s="10">
        <f t="shared" si="107"/>
        <v>10.018335457385795</v>
      </c>
      <c r="N249" s="10">
        <f t="shared" si="107"/>
        <v>10.761970407471427</v>
      </c>
      <c r="O249" s="10">
        <f t="shared" si="107"/>
        <v>11.470981711368385</v>
      </c>
      <c r="P249" s="10">
        <f t="shared" si="107"/>
        <v>11.394003612391582</v>
      </c>
      <c r="Q249" s="10">
        <f t="shared" si="107"/>
        <v>11.319590548921324</v>
      </c>
      <c r="R249" s="10">
        <f t="shared" si="107"/>
        <v>11.227822695230378</v>
      </c>
      <c r="S249" s="10">
        <f t="shared" si="107"/>
        <v>11.160053527044788</v>
      </c>
      <c r="T249" s="10">
        <f t="shared" si="107"/>
        <v>11.091688117132261</v>
      </c>
      <c r="U249" s="10">
        <f t="shared" si="107"/>
        <v>11.022952389783685</v>
      </c>
      <c r="V249" s="10">
        <f t="shared" si="107"/>
        <v>10.953511437016253</v>
      </c>
      <c r="W249" s="10">
        <f t="shared" si="107"/>
        <v>10.884686109831264</v>
      </c>
      <c r="X249" s="10">
        <f t="shared" si="107"/>
        <v>10.819555537186426</v>
      </c>
      <c r="Y249" s="10">
        <f t="shared" si="107"/>
        <v>10.753833714088405</v>
      </c>
      <c r="Z249" s="10">
        <f t="shared" si="108"/>
        <v>10.688993479920295</v>
      </c>
      <c r="AA249" s="10">
        <f t="shared" si="108"/>
        <v>10.624707286721645</v>
      </c>
      <c r="AB249" s="10">
        <f t="shared" si="108"/>
        <v>10.560899349559364</v>
      </c>
      <c r="AC249" s="10">
        <f t="shared" si="108"/>
        <v>10.501251112612795</v>
      </c>
      <c r="AD249" s="10">
        <f t="shared" si="108"/>
        <v>10.440637596986363</v>
      </c>
      <c r="AE249" s="10">
        <f t="shared" si="108"/>
        <v>10.382457231551394</v>
      </c>
      <c r="AF249" s="10">
        <f t="shared" si="108"/>
        <v>10.326159230589337</v>
      </c>
      <c r="AG249" s="10">
        <f t="shared" si="108"/>
        <v>10.271541194444438</v>
      </c>
      <c r="AH249" s="10">
        <f t="shared" si="108"/>
        <v>10.21802809397961</v>
      </c>
      <c r="AI249" s="10">
        <f t="shared" si="108"/>
        <v>10.165424603999938</v>
      </c>
      <c r="AJ249" s="10">
        <f t="shared" si="108"/>
        <v>10.112857115590407</v>
      </c>
      <c r="AK249" s="10">
        <f t="shared" si="108"/>
        <v>10.061245099350931</v>
      </c>
      <c r="AL249" s="10">
        <f t="shared" si="108"/>
        <v>10.011396696292536</v>
      </c>
      <c r="AM249" s="10">
        <f t="shared" si="108"/>
        <v>9.7779594858349625</v>
      </c>
      <c r="AN249" s="10">
        <f t="shared" si="108"/>
        <v>9.5795079014627049</v>
      </c>
      <c r="AO249" s="186">
        <f t="shared" ref="AO249:AP264" si="109">AN249</f>
        <v>9.5795079014627049</v>
      </c>
      <c r="AP249" s="186">
        <f t="shared" si="109"/>
        <v>9.5795079014627049</v>
      </c>
      <c r="AQ249" s="186"/>
      <c r="AR249" s="186"/>
      <c r="AS249" s="186"/>
      <c r="AT249" s="186"/>
      <c r="AU249" s="186"/>
      <c r="AV249" s="186"/>
    </row>
    <row r="250" spans="1:48" s="185" customFormat="1">
      <c r="A250" s="185" t="s">
        <v>125</v>
      </c>
      <c r="B250" s="22" t="str">
        <f t="shared" si="103"/>
        <v>COM_PROJ</v>
      </c>
      <c r="C250" s="23" t="str">
        <f t="shared" si="104"/>
        <v>-</v>
      </c>
      <c r="D250" s="22" t="str">
        <f>COM!B164</f>
        <v>CEK</v>
      </c>
      <c r="E250" s="23" t="str">
        <f t="shared" si="105"/>
        <v>-</v>
      </c>
      <c r="F250" s="23" t="str">
        <f t="shared" si="105"/>
        <v>-</v>
      </c>
      <c r="G250" s="23" t="str">
        <f t="shared" si="105"/>
        <v>-</v>
      </c>
      <c r="H250" s="23" t="str">
        <f t="shared" si="105"/>
        <v>-</v>
      </c>
      <c r="I250" s="22">
        <f t="shared" si="106"/>
        <v>0</v>
      </c>
      <c r="J250" s="10">
        <f t="shared" si="107"/>
        <v>9.8944997565297612</v>
      </c>
      <c r="K250" s="10">
        <f t="shared" si="107"/>
        <v>9.639891973427412</v>
      </c>
      <c r="L250" s="10">
        <f t="shared" si="107"/>
        <v>9.4068236837096606</v>
      </c>
      <c r="M250" s="10">
        <f t="shared" si="107"/>
        <v>9.1525319237345215</v>
      </c>
      <c r="N250" s="10">
        <f t="shared" si="107"/>
        <v>8.8871468025102622</v>
      </c>
      <c r="O250" s="10">
        <f t="shared" si="107"/>
        <v>8.579706769854079</v>
      </c>
      <c r="P250" s="10">
        <f t="shared" si="107"/>
        <v>8.5221310946817272</v>
      </c>
      <c r="Q250" s="10">
        <f t="shared" si="107"/>
        <v>8.4664739346856805</v>
      </c>
      <c r="R250" s="10">
        <f t="shared" si="107"/>
        <v>8.3978362805268461</v>
      </c>
      <c r="S250" s="10">
        <f t="shared" si="107"/>
        <v>8.3471484138996139</v>
      </c>
      <c r="T250" s="10">
        <f t="shared" si="107"/>
        <v>8.2960145890004728</v>
      </c>
      <c r="U250" s="10">
        <f t="shared" si="107"/>
        <v>8.2446037856270387</v>
      </c>
      <c r="V250" s="10">
        <f t="shared" si="107"/>
        <v>8.1926655097623495</v>
      </c>
      <c r="W250" s="10">
        <f t="shared" si="107"/>
        <v>8.1411876903006331</v>
      </c>
      <c r="X250" s="10">
        <f t="shared" si="107"/>
        <v>8.0924733579875081</v>
      </c>
      <c r="Y250" s="10">
        <f t="shared" si="107"/>
        <v>8.0433168006195892</v>
      </c>
      <c r="Z250" s="10">
        <f t="shared" si="108"/>
        <v>7.9948196266157501</v>
      </c>
      <c r="AA250" s="10">
        <f t="shared" si="108"/>
        <v>7.9467368468787738</v>
      </c>
      <c r="AB250" s="10">
        <f t="shared" si="108"/>
        <v>7.8990117781604559</v>
      </c>
      <c r="AC250" s="10">
        <f t="shared" si="108"/>
        <v>7.8543979521412606</v>
      </c>
      <c r="AD250" s="10">
        <f t="shared" si="108"/>
        <v>7.809062147111657</v>
      </c>
      <c r="AE250" s="10">
        <f t="shared" si="108"/>
        <v>7.7655462137979203</v>
      </c>
      <c r="AF250" s="10">
        <f t="shared" si="108"/>
        <v>7.7234381926941378</v>
      </c>
      <c r="AG250" s="10">
        <f t="shared" si="108"/>
        <v>7.6825866992248288</v>
      </c>
      <c r="AH250" s="10">
        <f t="shared" si="108"/>
        <v>7.6425616410487764</v>
      </c>
      <c r="AI250" s="10">
        <f t="shared" si="108"/>
        <v>7.6032169249248494</v>
      </c>
      <c r="AJ250" s="10">
        <f t="shared" si="108"/>
        <v>7.5638991361313668</v>
      </c>
      <c r="AK250" s="10">
        <f t="shared" si="108"/>
        <v>7.5252959915812552</v>
      </c>
      <c r="AL250" s="10">
        <f t="shared" si="108"/>
        <v>7.4880119393573157</v>
      </c>
      <c r="AM250" s="10">
        <f t="shared" si="108"/>
        <v>7.3134128627225916</v>
      </c>
      <c r="AN250" s="10">
        <f t="shared" si="108"/>
        <v>7.1649812424158927</v>
      </c>
      <c r="AO250" s="186">
        <f t="shared" si="109"/>
        <v>7.1649812424158927</v>
      </c>
      <c r="AP250" s="186">
        <f t="shared" si="109"/>
        <v>7.1649812424158927</v>
      </c>
      <c r="AQ250" s="186"/>
      <c r="AR250" s="186"/>
      <c r="AS250" s="186"/>
      <c r="AT250" s="186"/>
      <c r="AU250" s="186"/>
      <c r="AV250" s="186"/>
    </row>
    <row r="251" spans="1:48" s="185" customFormat="1">
      <c r="A251" s="185" t="s">
        <v>125</v>
      </c>
      <c r="B251" s="22" t="str">
        <f t="shared" si="103"/>
        <v>COM_PROJ</v>
      </c>
      <c r="C251" s="23" t="str">
        <f t="shared" si="104"/>
        <v>-</v>
      </c>
      <c r="D251" s="22" t="str">
        <f>COM!B165</f>
        <v>CEL</v>
      </c>
      <c r="E251" s="23" t="str">
        <f t="shared" si="105"/>
        <v>-</v>
      </c>
      <c r="F251" s="23" t="str">
        <f t="shared" si="105"/>
        <v>-</v>
      </c>
      <c r="G251" s="23" t="str">
        <f t="shared" si="105"/>
        <v>-</v>
      </c>
      <c r="H251" s="23" t="str">
        <f t="shared" si="105"/>
        <v>-</v>
      </c>
      <c r="I251" s="22">
        <f t="shared" si="106"/>
        <v>0</v>
      </c>
      <c r="J251" s="10">
        <f t="shared" si="107"/>
        <v>121.54027190568891</v>
      </c>
      <c r="K251" s="10">
        <f t="shared" si="107"/>
        <v>118.27488221288776</v>
      </c>
      <c r="L251" s="10">
        <f t="shared" si="107"/>
        <v>115.2708014638481</v>
      </c>
      <c r="M251" s="10">
        <f t="shared" si="107"/>
        <v>112.00334948610346</v>
      </c>
      <c r="N251" s="10">
        <f t="shared" si="107"/>
        <v>108.59701189474154</v>
      </c>
      <c r="O251" s="10">
        <f t="shared" si="107"/>
        <v>104.67427977141128</v>
      </c>
      <c r="P251" s="10">
        <f t="shared" si="107"/>
        <v>103.97184407137146</v>
      </c>
      <c r="Q251" s="10">
        <f t="shared" si="107"/>
        <v>103.29281467176793</v>
      </c>
      <c r="R251" s="10">
        <f t="shared" si="107"/>
        <v>102.45542043359663</v>
      </c>
      <c r="S251" s="10">
        <f t="shared" si="107"/>
        <v>101.83701748875505</v>
      </c>
      <c r="T251" s="10">
        <f t="shared" si="107"/>
        <v>101.21317375646325</v>
      </c>
      <c r="U251" s="10">
        <f t="shared" si="107"/>
        <v>100.58595082682979</v>
      </c>
      <c r="V251" s="10">
        <f t="shared" si="107"/>
        <v>99.95229261862535</v>
      </c>
      <c r="W251" s="10">
        <f t="shared" si="107"/>
        <v>99.324252078208431</v>
      </c>
      <c r="X251" s="10">
        <f t="shared" si="107"/>
        <v>98.729926679193866</v>
      </c>
      <c r="Y251" s="10">
        <f t="shared" si="107"/>
        <v>98.130206038785943</v>
      </c>
      <c r="Z251" s="10">
        <f t="shared" si="108"/>
        <v>97.538530018151164</v>
      </c>
      <c r="AA251" s="10">
        <f t="shared" si="108"/>
        <v>96.951909697272654</v>
      </c>
      <c r="AB251" s="10">
        <f t="shared" si="108"/>
        <v>96.369653528252542</v>
      </c>
      <c r="AC251" s="10">
        <f t="shared" si="108"/>
        <v>95.825355193627104</v>
      </c>
      <c r="AD251" s="10">
        <f t="shared" si="108"/>
        <v>95.272248558793734</v>
      </c>
      <c r="AE251" s="10">
        <f t="shared" si="108"/>
        <v>94.741344752826762</v>
      </c>
      <c r="AF251" s="10">
        <f t="shared" si="108"/>
        <v>94.227617780580516</v>
      </c>
      <c r="AG251" s="10">
        <f t="shared" si="108"/>
        <v>93.72922071746514</v>
      </c>
      <c r="AH251" s="10">
        <f t="shared" si="108"/>
        <v>93.240906343819177</v>
      </c>
      <c r="AI251" s="10">
        <f t="shared" si="108"/>
        <v>92.760892290477273</v>
      </c>
      <c r="AJ251" s="10">
        <f t="shared" si="108"/>
        <v>92.281206756395534</v>
      </c>
      <c r="AK251" s="10">
        <f t="shared" si="108"/>
        <v>91.810240036776122</v>
      </c>
      <c r="AL251" s="10">
        <f t="shared" si="108"/>
        <v>91.355366529069158</v>
      </c>
      <c r="AM251" s="10">
        <f t="shared" si="108"/>
        <v>89.22522000008658</v>
      </c>
      <c r="AN251" s="10">
        <f t="shared" si="108"/>
        <v>87.414322102561869</v>
      </c>
      <c r="AO251" s="186">
        <f t="shared" si="109"/>
        <v>87.414322102561869</v>
      </c>
      <c r="AP251" s="186">
        <f t="shared" si="109"/>
        <v>87.414322102561869</v>
      </c>
      <c r="AQ251" s="186"/>
      <c r="AR251" s="186"/>
      <c r="AS251" s="186"/>
      <c r="AT251" s="186"/>
      <c r="AU251" s="186"/>
      <c r="AV251" s="186"/>
    </row>
    <row r="252" spans="1:48" s="185" customFormat="1">
      <c r="A252" s="185" t="s">
        <v>125</v>
      </c>
      <c r="B252" s="22" t="str">
        <f t="shared" si="103"/>
        <v>COM_PROJ</v>
      </c>
      <c r="C252" s="23" t="str">
        <f t="shared" si="104"/>
        <v>-</v>
      </c>
      <c r="D252" s="22" t="str">
        <f>COM!B166</f>
        <v>CER</v>
      </c>
      <c r="E252" s="23" t="str">
        <f t="shared" si="105"/>
        <v>-</v>
      </c>
      <c r="F252" s="23" t="str">
        <f t="shared" si="105"/>
        <v>-</v>
      </c>
      <c r="G252" s="23" t="str">
        <f t="shared" si="105"/>
        <v>-</v>
      </c>
      <c r="H252" s="23" t="str">
        <f t="shared" si="105"/>
        <v>-</v>
      </c>
      <c r="I252" s="22">
        <f t="shared" si="106"/>
        <v>0</v>
      </c>
      <c r="J252" s="10">
        <f t="shared" si="107"/>
        <v>29.566390373747055</v>
      </c>
      <c r="K252" s="10">
        <f t="shared" si="107"/>
        <v>28.772038140812398</v>
      </c>
      <c r="L252" s="10">
        <f t="shared" si="107"/>
        <v>28.041253004760659</v>
      </c>
      <c r="M252" s="10">
        <f t="shared" si="107"/>
        <v>27.246399091841703</v>
      </c>
      <c r="N252" s="10">
        <f t="shared" si="107"/>
        <v>26.417759288821308</v>
      </c>
      <c r="O252" s="10">
        <f t="shared" si="107"/>
        <v>25.463499211305457</v>
      </c>
      <c r="P252" s="10">
        <f t="shared" si="107"/>
        <v>25.292621791054586</v>
      </c>
      <c r="Q252" s="10">
        <f t="shared" si="107"/>
        <v>25.12743828447573</v>
      </c>
      <c r="R252" s="10">
        <f t="shared" si="107"/>
        <v>24.923730290785286</v>
      </c>
      <c r="S252" s="10">
        <f t="shared" si="107"/>
        <v>24.773295026911196</v>
      </c>
      <c r="T252" s="10">
        <f t="shared" si="107"/>
        <v>24.621536214527861</v>
      </c>
      <c r="U252" s="10">
        <f t="shared" si="107"/>
        <v>24.46895536459116</v>
      </c>
      <c r="V252" s="10">
        <f t="shared" si="107"/>
        <v>24.314809042112639</v>
      </c>
      <c r="W252" s="10">
        <f t="shared" si="107"/>
        <v>24.162029296787445</v>
      </c>
      <c r="X252" s="10">
        <f t="shared" si="107"/>
        <v>24.017451236521683</v>
      </c>
      <c r="Y252" s="10">
        <f t="shared" si="107"/>
        <v>23.871560707469278</v>
      </c>
      <c r="Z252" s="10">
        <f t="shared" si="108"/>
        <v>23.727627145970857</v>
      </c>
      <c r="AA252" s="10">
        <f t="shared" si="108"/>
        <v>23.5849234549529</v>
      </c>
      <c r="AB252" s="10">
        <f t="shared" si="108"/>
        <v>23.443281405607074</v>
      </c>
      <c r="AC252" s="10">
        <f t="shared" si="108"/>
        <v>23.310873136405537</v>
      </c>
      <c r="AD252" s="10">
        <f t="shared" si="108"/>
        <v>23.17632212358172</v>
      </c>
      <c r="AE252" s="10">
        <f t="shared" si="108"/>
        <v>23.04717226294699</v>
      </c>
      <c r="AF252" s="10">
        <f t="shared" si="108"/>
        <v>22.922200910087561</v>
      </c>
      <c r="AG252" s="10">
        <f t="shared" si="108"/>
        <v>22.800958774471539</v>
      </c>
      <c r="AH252" s="10">
        <f t="shared" si="108"/>
        <v>22.682169395692373</v>
      </c>
      <c r="AI252" s="10">
        <f t="shared" si="108"/>
        <v>22.565399187238299</v>
      </c>
      <c r="AJ252" s="10">
        <f t="shared" si="108"/>
        <v>22.448708895741291</v>
      </c>
      <c r="AK252" s="10">
        <f t="shared" si="108"/>
        <v>22.334139579193149</v>
      </c>
      <c r="AL252" s="10">
        <f t="shared" si="108"/>
        <v>22.223485164087222</v>
      </c>
      <c r="AM252" s="10">
        <f t="shared" si="108"/>
        <v>21.70529688919137</v>
      </c>
      <c r="AN252" s="10">
        <f t="shared" si="108"/>
        <v>21.264770359789164</v>
      </c>
      <c r="AO252" s="186">
        <f t="shared" si="109"/>
        <v>21.264770359789164</v>
      </c>
      <c r="AP252" s="186">
        <f t="shared" si="109"/>
        <v>21.264770359789164</v>
      </c>
      <c r="AQ252" s="186"/>
      <c r="AR252" s="186"/>
      <c r="AS252" s="186"/>
      <c r="AT252" s="186"/>
      <c r="AU252" s="186"/>
      <c r="AV252" s="186"/>
    </row>
    <row r="253" spans="1:48" s="185" customFormat="1">
      <c r="A253" s="185" t="s">
        <v>125</v>
      </c>
      <c r="B253" s="22" t="str">
        <f t="shared" si="103"/>
        <v>COM_PROJ</v>
      </c>
      <c r="C253" s="23" t="str">
        <f t="shared" si="104"/>
        <v>-</v>
      </c>
      <c r="D253" s="22" t="str">
        <f>COM!B167</f>
        <v>CEW</v>
      </c>
      <c r="E253" s="23" t="str">
        <f t="shared" si="105"/>
        <v>-</v>
      </c>
      <c r="F253" s="23" t="str">
        <f t="shared" si="105"/>
        <v>-</v>
      </c>
      <c r="G253" s="23" t="str">
        <f t="shared" si="105"/>
        <v>-</v>
      </c>
      <c r="H253" s="23" t="str">
        <f t="shared" si="105"/>
        <v>-</v>
      </c>
      <c r="I253" s="22">
        <f t="shared" si="106"/>
        <v>0</v>
      </c>
      <c r="J253" s="10">
        <f t="shared" si="107"/>
        <v>9.6831090230750316</v>
      </c>
      <c r="K253" s="10">
        <f t="shared" si="107"/>
        <v>10.373780123530006</v>
      </c>
      <c r="L253" s="10">
        <f t="shared" si="107"/>
        <v>11.107846566457823</v>
      </c>
      <c r="M253" s="10">
        <f t="shared" si="107"/>
        <v>11.839343352056451</v>
      </c>
      <c r="N253" s="10">
        <f t="shared" si="107"/>
        <v>12.577835119303142</v>
      </c>
      <c r="O253" s="10">
        <f t="shared" si="107"/>
        <v>13.273861719969343</v>
      </c>
      <c r="P253" s="10">
        <f t="shared" si="107"/>
        <v>13.184785068380622</v>
      </c>
      <c r="Q253" s="10">
        <f t="shared" si="107"/>
        <v>13.098676595756643</v>
      </c>
      <c r="R253" s="10">
        <f t="shared" si="107"/>
        <v>12.992485701996889</v>
      </c>
      <c r="S253" s="10">
        <f t="shared" si="107"/>
        <v>12.914065337462496</v>
      </c>
      <c r="T253" s="10">
        <f t="shared" si="107"/>
        <v>12.834955020626357</v>
      </c>
      <c r="U253" s="10">
        <f t="shared" si="107"/>
        <v>12.755416184020746</v>
      </c>
      <c r="V253" s="10">
        <f t="shared" si="107"/>
        <v>12.675061282589395</v>
      </c>
      <c r="W253" s="10">
        <f t="shared" si="107"/>
        <v>12.595418763851894</v>
      </c>
      <c r="X253" s="10">
        <f t="shared" si="107"/>
        <v>12.520051699656058</v>
      </c>
      <c r="Y253" s="10">
        <f t="shared" si="107"/>
        <v>12.444000458904551</v>
      </c>
      <c r="Z253" s="10">
        <f t="shared" si="108"/>
        <v>12.368969365324741</v>
      </c>
      <c r="AA253" s="10">
        <f t="shared" si="108"/>
        <v>12.294579390648343</v>
      </c>
      <c r="AB253" s="10">
        <f t="shared" si="108"/>
        <v>12.220742838918058</v>
      </c>
      <c r="AC253" s="10">
        <f t="shared" si="108"/>
        <v>12.151719762341791</v>
      </c>
      <c r="AD253" s="10">
        <f t="shared" si="108"/>
        <v>12.081579695429379</v>
      </c>
      <c r="AE253" s="10">
        <f t="shared" si="108"/>
        <v>12.014255193914769</v>
      </c>
      <c r="AF253" s="10">
        <f t="shared" si="108"/>
        <v>11.949108905769227</v>
      </c>
      <c r="AG253" s="10">
        <f t="shared" si="108"/>
        <v>11.885906620433426</v>
      </c>
      <c r="AH253" s="10">
        <f t="shared" si="108"/>
        <v>11.823982932151978</v>
      </c>
      <c r="AI253" s="10">
        <f t="shared" si="108"/>
        <v>11.76311181671066</v>
      </c>
      <c r="AJ253" s="10">
        <f t="shared" si="108"/>
        <v>11.702282361161735</v>
      </c>
      <c r="AK253" s="10">
        <f t="shared" si="108"/>
        <v>11.642558548162135</v>
      </c>
      <c r="AL253" s="10">
        <f t="shared" si="108"/>
        <v>11.5848755332461</v>
      </c>
      <c r="AM253" s="10">
        <f t="shared" si="108"/>
        <v>11.314749285129224</v>
      </c>
      <c r="AN253" s="10">
        <f t="shared" si="108"/>
        <v>11.085107310680298</v>
      </c>
      <c r="AO253" s="186">
        <f t="shared" si="109"/>
        <v>11.085107310680298</v>
      </c>
      <c r="AP253" s="186">
        <f t="shared" si="109"/>
        <v>11.085107310680298</v>
      </c>
      <c r="AQ253" s="186"/>
      <c r="AR253" s="186"/>
      <c r="AS253" s="186"/>
      <c r="AT253" s="186"/>
      <c r="AU253" s="186"/>
      <c r="AV253" s="186"/>
    </row>
    <row r="254" spans="1:48" s="185" customFormat="1">
      <c r="A254" s="185" t="s">
        <v>125</v>
      </c>
      <c r="B254" s="22" t="str">
        <f t="shared" si="103"/>
        <v>COM_PROJ</v>
      </c>
      <c r="C254" s="23" t="str">
        <f t="shared" si="104"/>
        <v>-</v>
      </c>
      <c r="D254" s="22" t="str">
        <f>COM!B168</f>
        <v>CEG</v>
      </c>
      <c r="E254" s="23" t="str">
        <f t="shared" si="105"/>
        <v>-</v>
      </c>
      <c r="F254" s="23" t="str">
        <f t="shared" si="105"/>
        <v>-</v>
      </c>
      <c r="G254" s="23" t="str">
        <f t="shared" si="105"/>
        <v>-</v>
      </c>
      <c r="H254" s="23" t="str">
        <f t="shared" si="105"/>
        <v>-</v>
      </c>
      <c r="I254" s="22">
        <f t="shared" si="106"/>
        <v>0</v>
      </c>
      <c r="J254" s="10">
        <f t="shared" si="107"/>
        <v>10.30055287377321</v>
      </c>
      <c r="K254" s="10">
        <f t="shared" si="107"/>
        <v>10.023810698880988</v>
      </c>
      <c r="L254" s="10">
        <f t="shared" si="107"/>
        <v>9.7692144888562282</v>
      </c>
      <c r="M254" s="10">
        <f t="shared" si="107"/>
        <v>9.4922975350634147</v>
      </c>
      <c r="N254" s="10">
        <f t="shared" si="107"/>
        <v>9.2036100085703758</v>
      </c>
      <c r="O254" s="10">
        <f t="shared" si="107"/>
        <v>8.8711579824850144</v>
      </c>
      <c r="P254" s="10">
        <f t="shared" si="107"/>
        <v>8.9283467453532221</v>
      </c>
      <c r="Q254" s="10">
        <f t="shared" si="107"/>
        <v>8.995453942310931</v>
      </c>
      <c r="R254" s="10">
        <f t="shared" si="107"/>
        <v>8.995453942310931</v>
      </c>
      <c r="S254" s="10">
        <f t="shared" si="107"/>
        <v>9.0882516364607788</v>
      </c>
      <c r="T254" s="10">
        <f t="shared" si="107"/>
        <v>9.1787437936092946</v>
      </c>
      <c r="U254" s="10">
        <f t="shared" si="107"/>
        <v>9.2678040138227225</v>
      </c>
      <c r="V254" s="10">
        <f t="shared" si="107"/>
        <v>9.3541372808156904</v>
      </c>
      <c r="W254" s="10">
        <f t="shared" si="107"/>
        <v>9.4428510379608159</v>
      </c>
      <c r="X254" s="10">
        <f t="shared" si="107"/>
        <v>9.5458516068439963</v>
      </c>
      <c r="Y254" s="10">
        <f t="shared" si="107"/>
        <v>9.6465659388952307</v>
      </c>
      <c r="Z254" s="10">
        <f t="shared" si="108"/>
        <v>9.750689183483173</v>
      </c>
      <c r="AA254" s="10">
        <f t="shared" si="108"/>
        <v>9.8569547839271863</v>
      </c>
      <c r="AB254" s="10">
        <f t="shared" si="108"/>
        <v>9.9650696963836705</v>
      </c>
      <c r="AC254" s="10">
        <f t="shared" si="108"/>
        <v>10.089269264322065</v>
      </c>
      <c r="AD254" s="10">
        <f t="shared" si="108"/>
        <v>10.209736309673625</v>
      </c>
      <c r="AE254" s="10">
        <f t="shared" si="108"/>
        <v>10.339611817302737</v>
      </c>
      <c r="AF254" s="10">
        <f t="shared" si="108"/>
        <v>10.47676601870017</v>
      </c>
      <c r="AG254" s="10">
        <f t="shared" si="108"/>
        <v>10.620416278444232</v>
      </c>
      <c r="AH254" s="10">
        <f t="shared" si="108"/>
        <v>10.768339084002173</v>
      </c>
      <c r="AI254" s="10">
        <f t="shared" si="108"/>
        <v>10.919779155352776</v>
      </c>
      <c r="AJ254" s="10">
        <f t="shared" si="108"/>
        <v>11.071358436940297</v>
      </c>
      <c r="AK254" s="10">
        <f t="shared" si="108"/>
        <v>11.226632321475375</v>
      </c>
      <c r="AL254" s="10">
        <f t="shared" si="108"/>
        <v>11.38872571437644</v>
      </c>
      <c r="AM254" s="10">
        <f t="shared" si="108"/>
        <v>12.260306419665319</v>
      </c>
      <c r="AN254" s="10">
        <f t="shared" si="108"/>
        <v>13.267168927300476</v>
      </c>
      <c r="AO254" s="186">
        <f t="shared" si="109"/>
        <v>13.267168927300476</v>
      </c>
      <c r="AP254" s="186">
        <f t="shared" si="109"/>
        <v>13.267168927300476</v>
      </c>
      <c r="AQ254" s="186"/>
      <c r="AR254" s="186"/>
      <c r="AS254" s="186"/>
      <c r="AT254" s="186"/>
      <c r="AU254" s="186"/>
      <c r="AV254" s="186"/>
    </row>
    <row r="255" spans="1:48" s="185" customFormat="1">
      <c r="B255" s="22" t="str">
        <f t="shared" si="103"/>
        <v>COM_PROJ</v>
      </c>
      <c r="C255" s="23" t="str">
        <f t="shared" si="104"/>
        <v>-</v>
      </c>
      <c r="D255" s="22" t="str">
        <f>COM!B169</f>
        <v>CET</v>
      </c>
      <c r="E255" s="23" t="str">
        <f t="shared" si="105"/>
        <v>-</v>
      </c>
      <c r="F255" s="23" t="str">
        <f t="shared" si="105"/>
        <v>-</v>
      </c>
      <c r="G255" s="23" t="str">
        <f t="shared" si="105"/>
        <v>-</v>
      </c>
      <c r="H255" s="23" t="str">
        <f t="shared" si="105"/>
        <v>-</v>
      </c>
      <c r="I255" s="22">
        <f t="shared" si="106"/>
        <v>0</v>
      </c>
      <c r="J255" s="10">
        <f t="shared" si="107"/>
        <v>3.5593512487513528</v>
      </c>
      <c r="K255" s="10">
        <f t="shared" si="107"/>
        <v>3.4637231190911666</v>
      </c>
      <c r="L255" s="10">
        <f t="shared" si="107"/>
        <v>3.3757475172779561</v>
      </c>
      <c r="M255" s="10">
        <f t="shared" si="107"/>
        <v>3.2800589928500612</v>
      </c>
      <c r="N255" s="10">
        <f t="shared" si="107"/>
        <v>3.1803031525069465</v>
      </c>
      <c r="O255" s="10">
        <f t="shared" si="107"/>
        <v>3.0654245097100388</v>
      </c>
      <c r="P255" s="10">
        <f t="shared" si="107"/>
        <v>3.0851860600873766</v>
      </c>
      <c r="Q255" s="10">
        <f t="shared" si="107"/>
        <v>3.1083749207455065</v>
      </c>
      <c r="R255" s="10">
        <f t="shared" si="107"/>
        <v>3.1083749207455065</v>
      </c>
      <c r="S255" s="10">
        <f t="shared" si="107"/>
        <v>3.14044112074478</v>
      </c>
      <c r="T255" s="10">
        <f t="shared" si="107"/>
        <v>3.1717106435068905</v>
      </c>
      <c r="U255" s="10">
        <f t="shared" si="107"/>
        <v>3.2024853611279087</v>
      </c>
      <c r="V255" s="10">
        <f t="shared" si="107"/>
        <v>3.2323177813334891</v>
      </c>
      <c r="W255" s="10">
        <f t="shared" si="107"/>
        <v>3.2629727788025966</v>
      </c>
      <c r="X255" s="10">
        <f t="shared" si="107"/>
        <v>3.2985645774146795</v>
      </c>
      <c r="Y255" s="10">
        <f t="shared" si="107"/>
        <v>3.3333663679541425</v>
      </c>
      <c r="Z255" s="10">
        <f t="shared" si="108"/>
        <v>3.3693461066331967</v>
      </c>
      <c r="AA255" s="10">
        <f t="shared" si="108"/>
        <v>3.4060661353806592</v>
      </c>
      <c r="AB255" s="10">
        <f t="shared" si="108"/>
        <v>3.4434251930328399</v>
      </c>
      <c r="AC255" s="10">
        <f t="shared" si="108"/>
        <v>3.4863422958964625</v>
      </c>
      <c r="AD255" s="10">
        <f t="shared" si="108"/>
        <v>3.5279696273183716</v>
      </c>
      <c r="AE255" s="10">
        <f t="shared" si="108"/>
        <v>3.5728480484989391</v>
      </c>
      <c r="AF255" s="10">
        <f t="shared" si="108"/>
        <v>3.6202416189215931</v>
      </c>
      <c r="AG255" s="10">
        <f t="shared" si="108"/>
        <v>3.6698798992808292</v>
      </c>
      <c r="AH255" s="10">
        <f t="shared" si="108"/>
        <v>3.7209945558564028</v>
      </c>
      <c r="AI255" s="10">
        <f t="shared" si="108"/>
        <v>3.7733246019887052</v>
      </c>
      <c r="AJ255" s="10">
        <f t="shared" si="108"/>
        <v>3.8257027521535454</v>
      </c>
      <c r="AK255" s="10">
        <f t="shared" si="108"/>
        <v>3.8793575706464041</v>
      </c>
      <c r="AL255" s="10">
        <f t="shared" si="108"/>
        <v>3.9353688670794096</v>
      </c>
      <c r="AM255" s="10">
        <f t="shared" si="108"/>
        <v>4.2365431739126276</v>
      </c>
      <c r="AN255" s="10">
        <f t="shared" si="108"/>
        <v>4.5844640445483158</v>
      </c>
      <c r="AO255" s="186">
        <f t="shared" si="109"/>
        <v>4.5844640445483158</v>
      </c>
      <c r="AP255" s="186">
        <f t="shared" si="109"/>
        <v>4.5844640445483158</v>
      </c>
      <c r="AQ255" s="186"/>
      <c r="AR255" s="186"/>
      <c r="AS255" s="186"/>
      <c r="AT255" s="186"/>
      <c r="AU255" s="186"/>
      <c r="AV255" s="186"/>
    </row>
    <row r="256" spans="1:48" s="185" customFormat="1">
      <c r="B256" s="22" t="str">
        <f t="shared" si="103"/>
        <v>COM_PROJ</v>
      </c>
      <c r="C256" s="23" t="str">
        <f t="shared" si="104"/>
        <v>-</v>
      </c>
      <c r="D256" s="22" t="str">
        <f>COM!B170</f>
        <v>CEO</v>
      </c>
      <c r="E256" s="23" t="str">
        <f t="shared" si="105"/>
        <v>-</v>
      </c>
      <c r="F256" s="23" t="str">
        <f t="shared" si="105"/>
        <v>-</v>
      </c>
      <c r="G256" s="23" t="str">
        <f t="shared" si="105"/>
        <v>-</v>
      </c>
      <c r="H256" s="23" t="str">
        <f t="shared" si="105"/>
        <v>-</v>
      </c>
      <c r="I256" s="22">
        <f t="shared" si="106"/>
        <v>0</v>
      </c>
      <c r="J256" s="10">
        <f t="shared" si="107"/>
        <v>18.760184357078931</v>
      </c>
      <c r="K256" s="10">
        <f t="shared" si="107"/>
        <v>18.418479080845469</v>
      </c>
      <c r="L256" s="10">
        <f t="shared" si="107"/>
        <v>18.120961991998936</v>
      </c>
      <c r="M256" s="10">
        <f t="shared" si="107"/>
        <v>17.785935979440417</v>
      </c>
      <c r="N256" s="10">
        <f t="shared" si="107"/>
        <v>17.432555568363497</v>
      </c>
      <c r="O256" s="10">
        <f t="shared" si="107"/>
        <v>16.999241745794041</v>
      </c>
      <c r="P256" s="10">
        <f t="shared" si="107"/>
        <v>16.885165257262866</v>
      </c>
      <c r="Q256" s="10">
        <f t="shared" si="107"/>
        <v>16.774889982939797</v>
      </c>
      <c r="R256" s="10">
        <f t="shared" si="107"/>
        <v>16.638896048973443</v>
      </c>
      <c r="S256" s="10">
        <f t="shared" si="107"/>
        <v>16.538466591243903</v>
      </c>
      <c r="T256" s="10">
        <f t="shared" si="107"/>
        <v>16.437153542422493</v>
      </c>
      <c r="U256" s="10">
        <f t="shared" si="107"/>
        <v>16.335291707474802</v>
      </c>
      <c r="V256" s="10">
        <f t="shared" si="107"/>
        <v>16.23238477475936</v>
      </c>
      <c r="W256" s="10">
        <f t="shared" si="107"/>
        <v>16.130390158736962</v>
      </c>
      <c r="X256" s="10">
        <f t="shared" si="107"/>
        <v>16.033870926356499</v>
      </c>
      <c r="Y256" s="10">
        <f t="shared" si="107"/>
        <v>15.93647549962416</v>
      </c>
      <c r="Z256" s="10">
        <f t="shared" si="108"/>
        <v>15.840386529803448</v>
      </c>
      <c r="AA256" s="10">
        <f t="shared" si="108"/>
        <v>15.745118612322797</v>
      </c>
      <c r="AB256" s="10">
        <f t="shared" si="108"/>
        <v>15.650559438887184</v>
      </c>
      <c r="AC256" s="10">
        <f t="shared" si="108"/>
        <v>15.56216466805774</v>
      </c>
      <c r="AD256" s="10">
        <f t="shared" si="108"/>
        <v>15.472339417602061</v>
      </c>
      <c r="AE256" s="10">
        <f t="shared" si="108"/>
        <v>15.386119935976746</v>
      </c>
      <c r="AF256" s="10">
        <f t="shared" si="108"/>
        <v>15.302689994909844</v>
      </c>
      <c r="AG256" s="10">
        <f t="shared" si="108"/>
        <v>15.221749651400494</v>
      </c>
      <c r="AH256" s="10">
        <f t="shared" si="108"/>
        <v>15.142446750022225</v>
      </c>
      <c r="AI256" s="10">
        <f t="shared" si="108"/>
        <v>15.064491831660645</v>
      </c>
      <c r="AJ256" s="10">
        <f t="shared" si="108"/>
        <v>14.986590265262256</v>
      </c>
      <c r="AK256" s="10">
        <f t="shared" si="108"/>
        <v>14.910104645886436</v>
      </c>
      <c r="AL256" s="10">
        <f t="shared" si="108"/>
        <v>14.836232585451398</v>
      </c>
      <c r="AM256" s="10">
        <f t="shared" si="108"/>
        <v>14.490293966344428</v>
      </c>
      <c r="AN256" s="10">
        <f t="shared" si="108"/>
        <v>14.196201748044011</v>
      </c>
      <c r="AO256" s="186">
        <f t="shared" si="109"/>
        <v>14.196201748044011</v>
      </c>
      <c r="AP256" s="186">
        <f t="shared" si="109"/>
        <v>14.196201748044011</v>
      </c>
      <c r="AQ256" s="186"/>
      <c r="AR256" s="186"/>
      <c r="AS256" s="186"/>
      <c r="AT256" s="186"/>
      <c r="AU256" s="186"/>
      <c r="AV256" s="186"/>
    </row>
    <row r="257" spans="1:48" s="185" customFormat="1">
      <c r="A257" s="185" t="s">
        <v>16</v>
      </c>
      <c r="B257" s="22"/>
      <c r="C257" s="23" t="str">
        <f t="shared" si="104"/>
        <v/>
      </c>
      <c r="D257" s="22"/>
      <c r="E257" s="23" t="str">
        <f t="shared" si="105"/>
        <v/>
      </c>
      <c r="F257" s="23" t="str">
        <f t="shared" si="105"/>
        <v/>
      </c>
      <c r="G257" s="23"/>
      <c r="H257" s="23" t="str">
        <f t="shared" si="105"/>
        <v/>
      </c>
      <c r="I257" s="22" t="str">
        <f t="shared" si="106"/>
        <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86">
        <f t="shared" si="109"/>
        <v>0</v>
      </c>
      <c r="AP257" s="186">
        <f t="shared" si="109"/>
        <v>0</v>
      </c>
      <c r="AQ257" s="186"/>
      <c r="AR257" s="186"/>
      <c r="AS257" s="186"/>
      <c r="AT257" s="186"/>
      <c r="AU257" s="186"/>
      <c r="AV257" s="186"/>
    </row>
    <row r="258" spans="1:48" s="223" customFormat="1">
      <c r="B258" s="224" t="str">
        <f t="shared" ref="B258:B266" si="110">IF(A258="*","","COM_PROJ")</f>
        <v>COM_PROJ</v>
      </c>
      <c r="C258" s="224" t="str">
        <f t="shared" si="104"/>
        <v>-</v>
      </c>
      <c r="D258" s="224" t="str">
        <f>COM!B174</f>
        <v>CNC</v>
      </c>
      <c r="E258" s="224" t="str">
        <f t="shared" si="105"/>
        <v>-</v>
      </c>
      <c r="F258" s="224" t="str">
        <f t="shared" si="105"/>
        <v>-</v>
      </c>
      <c r="G258" s="224" t="str">
        <f t="shared" si="105"/>
        <v>-</v>
      </c>
      <c r="H258" s="224" t="str">
        <f t="shared" si="105"/>
        <v>-</v>
      </c>
      <c r="I258" s="224">
        <f t="shared" si="106"/>
        <v>0</v>
      </c>
      <c r="J258" s="225">
        <f t="shared" ref="J258:Y266" si="111">INDEX($J$220:$AV$228,MATCH($D258,$B$220:$B$228,0),MATCH(J$247,$J$104:$AV$104,0))</f>
        <v>0</v>
      </c>
      <c r="K258" s="225">
        <f t="shared" si="111"/>
        <v>0</v>
      </c>
      <c r="L258" s="225">
        <f t="shared" si="111"/>
        <v>0</v>
      </c>
      <c r="M258" s="225">
        <f t="shared" si="111"/>
        <v>0</v>
      </c>
      <c r="N258" s="225">
        <f t="shared" si="111"/>
        <v>0</v>
      </c>
      <c r="O258" s="225">
        <f t="shared" si="111"/>
        <v>0</v>
      </c>
      <c r="P258" s="225">
        <f t="shared" si="111"/>
        <v>1.5826011087333609</v>
      </c>
      <c r="Q258" s="225">
        <f t="shared" si="111"/>
        <v>3.2727888378763019</v>
      </c>
      <c r="R258" s="225">
        <f t="shared" si="111"/>
        <v>4.2350555604682834</v>
      </c>
      <c r="S258" s="225">
        <f t="shared" si="111"/>
        <v>6.2039116504232403</v>
      </c>
      <c r="T258" s="225">
        <f t="shared" si="111"/>
        <v>8.1477592630354909</v>
      </c>
      <c r="U258" s="225">
        <f t="shared" si="111"/>
        <v>10.076074458524694</v>
      </c>
      <c r="V258" s="225">
        <f t="shared" si="111"/>
        <v>11.974810016910205</v>
      </c>
      <c r="W258" s="225">
        <f t="shared" si="111"/>
        <v>13.899367079787028</v>
      </c>
      <c r="X258" s="225">
        <f t="shared" si="111"/>
        <v>15.97889515698475</v>
      </c>
      <c r="Y258" s="225">
        <f t="shared" si="111"/>
        <v>18.03362410843485</v>
      </c>
      <c r="Z258" s="225">
        <f t="shared" ref="Z258:AN266" si="112">INDEX($J$220:$AV$228,MATCH($D258,$B$220:$B$228,0),MATCH(Z$247,$J$104:$AV$104,0))</f>
        <v>20.125330003602787</v>
      </c>
      <c r="AA258" s="225">
        <f t="shared" si="112"/>
        <v>22.240274327759533</v>
      </c>
      <c r="AB258" s="225">
        <f t="shared" si="112"/>
        <v>24.375278393979318</v>
      </c>
      <c r="AC258" s="225">
        <f t="shared" si="112"/>
        <v>26.661660167793737</v>
      </c>
      <c r="AD258" s="225">
        <f t="shared" si="112"/>
        <v>28.907959626978101</v>
      </c>
      <c r="AE258" s="225">
        <f t="shared" si="112"/>
        <v>31.255293423241625</v>
      </c>
      <c r="AF258" s="225">
        <f t="shared" si="112"/>
        <v>33.680790683203</v>
      </c>
      <c r="AG258" s="225">
        <f t="shared" si="112"/>
        <v>36.176046946210533</v>
      </c>
      <c r="AH258" s="225">
        <f t="shared" si="112"/>
        <v>38.717184653093838</v>
      </c>
      <c r="AI258" s="225">
        <f t="shared" si="112"/>
        <v>41.296093103719301</v>
      </c>
      <c r="AJ258" s="225">
        <f t="shared" si="112"/>
        <v>43.876496486628767</v>
      </c>
      <c r="AK258" s="225">
        <f t="shared" si="112"/>
        <v>46.496574977814674</v>
      </c>
      <c r="AL258" s="225">
        <f t="shared" si="112"/>
        <v>49.189885893879108</v>
      </c>
      <c r="AM258" s="225">
        <f>INDEX($J$220:$AV$228,MATCH($D258,$B$220:$B$228,0),MATCH(AM$247,$J$104:$AV$104,0))</f>
        <v>63.030263851651917</v>
      </c>
      <c r="AN258" s="225">
        <f t="shared" si="112"/>
        <v>78.294333022653632</v>
      </c>
      <c r="AO258" s="226">
        <f t="shared" si="109"/>
        <v>78.294333022653632</v>
      </c>
      <c r="AP258" s="226">
        <f t="shared" si="109"/>
        <v>78.294333022653632</v>
      </c>
      <c r="AQ258" s="226"/>
      <c r="AR258" s="226"/>
      <c r="AS258" s="226"/>
      <c r="AT258" s="226"/>
      <c r="AU258" s="226"/>
      <c r="AV258" s="226"/>
    </row>
    <row r="259" spans="1:48" s="185" customFormat="1">
      <c r="B259" s="22" t="str">
        <f t="shared" si="110"/>
        <v>COM_PROJ</v>
      </c>
      <c r="C259" s="23" t="str">
        <f t="shared" si="104"/>
        <v>-</v>
      </c>
      <c r="D259" s="22" t="str">
        <f>COM!B175</f>
        <v>CNH</v>
      </c>
      <c r="E259" s="23" t="str">
        <f t="shared" si="105"/>
        <v>-</v>
      </c>
      <c r="F259" s="23" t="str">
        <f t="shared" si="105"/>
        <v>-</v>
      </c>
      <c r="G259" s="23" t="str">
        <f t="shared" si="105"/>
        <v>-</v>
      </c>
      <c r="H259" s="23" t="str">
        <f t="shared" si="105"/>
        <v>-</v>
      </c>
      <c r="I259" s="22">
        <f t="shared" si="106"/>
        <v>0</v>
      </c>
      <c r="J259" s="10">
        <f t="shared" si="111"/>
        <v>0</v>
      </c>
      <c r="K259" s="10">
        <f t="shared" si="111"/>
        <v>0</v>
      </c>
      <c r="L259" s="10">
        <f t="shared" si="111"/>
        <v>0</v>
      </c>
      <c r="M259" s="10">
        <f t="shared" si="111"/>
        <v>0</v>
      </c>
      <c r="N259" s="10">
        <f t="shared" si="111"/>
        <v>0</v>
      </c>
      <c r="O259" s="10">
        <f t="shared" si="111"/>
        <v>0</v>
      </c>
      <c r="P259" s="10">
        <f t="shared" si="111"/>
        <v>0.15092687254753431</v>
      </c>
      <c r="Q259" s="10">
        <f t="shared" si="111"/>
        <v>0.31211388712123755</v>
      </c>
      <c r="R259" s="10">
        <f t="shared" si="111"/>
        <v>0.40388174081218448</v>
      </c>
      <c r="S259" s="10">
        <f t="shared" si="111"/>
        <v>0.59164433652456594</v>
      </c>
      <c r="T259" s="10">
        <f t="shared" si="111"/>
        <v>0.77702196532918899</v>
      </c>
      <c r="U259" s="10">
        <f t="shared" si="111"/>
        <v>0.96091832438962399</v>
      </c>
      <c r="V259" s="10">
        <f t="shared" si="111"/>
        <v>1.1419937817746368</v>
      </c>
      <c r="W259" s="10">
        <f t="shared" si="111"/>
        <v>1.3255317414894152</v>
      </c>
      <c r="X259" s="10">
        <f t="shared" si="111"/>
        <v>1.5238487193648038</v>
      </c>
      <c r="Y259" s="10">
        <f t="shared" si="111"/>
        <v>1.719800695427451</v>
      </c>
      <c r="Z259" s="10">
        <f t="shared" si="112"/>
        <v>1.9192790272097433</v>
      </c>
      <c r="AA259" s="10">
        <f t="shared" si="112"/>
        <v>2.1209735228698725</v>
      </c>
      <c r="AB259" s="10">
        <f t="shared" si="112"/>
        <v>2.3245810426754905</v>
      </c>
      <c r="AC259" s="10">
        <f t="shared" si="112"/>
        <v>2.5426249001372594</v>
      </c>
      <c r="AD259" s="10">
        <f t="shared" si="112"/>
        <v>2.7568462540267777</v>
      </c>
      <c r="AE259" s="10">
        <f t="shared" si="112"/>
        <v>2.9807028826744921</v>
      </c>
      <c r="AF259" s="10">
        <f t="shared" si="112"/>
        <v>3.2120136746349321</v>
      </c>
      <c r="AG259" s="10">
        <f t="shared" si="112"/>
        <v>3.4499771272713255</v>
      </c>
      <c r="AH259" s="10">
        <f t="shared" si="112"/>
        <v>3.6923161252007954</v>
      </c>
      <c r="AI259" s="10">
        <f t="shared" si="112"/>
        <v>3.9382571806514806</v>
      </c>
      <c r="AJ259" s="10">
        <f t="shared" si="112"/>
        <v>4.1843408023199267</v>
      </c>
      <c r="AK259" s="10">
        <f t="shared" si="112"/>
        <v>4.4342080937817929</v>
      </c>
      <c r="AL259" s="10">
        <f t="shared" si="112"/>
        <v>4.6910592934407376</v>
      </c>
      <c r="AM259" s="10">
        <f t="shared" si="112"/>
        <v>6.0109654583709045</v>
      </c>
      <c r="AN259" s="10">
        <f t="shared" si="112"/>
        <v>7.4666438410129734</v>
      </c>
      <c r="AO259" s="186">
        <f t="shared" si="109"/>
        <v>7.4666438410129734</v>
      </c>
      <c r="AP259" s="186">
        <f t="shared" si="109"/>
        <v>7.4666438410129734</v>
      </c>
      <c r="AQ259" s="186"/>
      <c r="AR259" s="186"/>
      <c r="AS259" s="186"/>
      <c r="AT259" s="186"/>
      <c r="AU259" s="186"/>
      <c r="AV259" s="186"/>
    </row>
    <row r="260" spans="1:48" s="185" customFormat="1">
      <c r="B260" s="22" t="str">
        <f t="shared" si="110"/>
        <v>COM_PROJ</v>
      </c>
      <c r="C260" s="23" t="str">
        <f t="shared" si="104"/>
        <v>-</v>
      </c>
      <c r="D260" s="22" t="str">
        <f>COM!B176</f>
        <v>CNK</v>
      </c>
      <c r="E260" s="23" t="str">
        <f t="shared" si="105"/>
        <v>-</v>
      </c>
      <c r="F260" s="23" t="str">
        <f t="shared" si="105"/>
        <v>-</v>
      </c>
      <c r="G260" s="23" t="str">
        <f t="shared" si="105"/>
        <v>-</v>
      </c>
      <c r="H260" s="23" t="str">
        <f t="shared" si="105"/>
        <v>-</v>
      </c>
      <c r="I260" s="22">
        <f t="shared" si="106"/>
        <v>0</v>
      </c>
      <c r="J260" s="10">
        <f t="shared" si="111"/>
        <v>0</v>
      </c>
      <c r="K260" s="10">
        <f t="shared" si="111"/>
        <v>0</v>
      </c>
      <c r="L260" s="10">
        <f t="shared" si="111"/>
        <v>0</v>
      </c>
      <c r="M260" s="10">
        <f t="shared" si="111"/>
        <v>0</v>
      </c>
      <c r="N260" s="10">
        <f t="shared" si="111"/>
        <v>0</v>
      </c>
      <c r="O260" s="10">
        <f t="shared" si="111"/>
        <v>0</v>
      </c>
      <c r="P260" s="10">
        <f t="shared" si="111"/>
        <v>0.1128855701047503</v>
      </c>
      <c r="Q260" s="10">
        <f t="shared" si="111"/>
        <v>0.23344520091472726</v>
      </c>
      <c r="R260" s="10">
        <f t="shared" si="111"/>
        <v>0.30208285507355981</v>
      </c>
      <c r="S260" s="10">
        <f t="shared" si="111"/>
        <v>0.44251965935878973</v>
      </c>
      <c r="T260" s="10">
        <f t="shared" si="111"/>
        <v>0.58117263055638668</v>
      </c>
      <c r="U260" s="10">
        <f t="shared" si="111"/>
        <v>0.71871768785681511</v>
      </c>
      <c r="V260" s="10">
        <f t="shared" si="111"/>
        <v>0.85415285519222628</v>
      </c>
      <c r="W260" s="10">
        <f t="shared" si="111"/>
        <v>0.99142984813952317</v>
      </c>
      <c r="X260" s="10">
        <f t="shared" si="111"/>
        <v>1.1397607896811868</v>
      </c>
      <c r="Y260" s="10">
        <f t="shared" si="111"/>
        <v>1.2863228310036661</v>
      </c>
      <c r="Z260" s="10">
        <f t="shared" si="112"/>
        <v>1.4355224057824816</v>
      </c>
      <c r="AA260" s="10">
        <f t="shared" si="112"/>
        <v>1.5863795576287365</v>
      </c>
      <c r="AB260" s="10">
        <f t="shared" si="112"/>
        <v>1.7386675535496259</v>
      </c>
      <c r="AC260" s="10">
        <f t="shared" si="112"/>
        <v>1.9017531905998371</v>
      </c>
      <c r="AD260" s="10">
        <f t="shared" si="112"/>
        <v>2.0619797907688264</v>
      </c>
      <c r="AE260" s="10">
        <f t="shared" si="112"/>
        <v>2.2294130829326573</v>
      </c>
      <c r="AF260" s="10">
        <f t="shared" si="112"/>
        <v>2.4024217074478953</v>
      </c>
      <c r="AG260" s="10">
        <f t="shared" si="112"/>
        <v>2.5804061813956585</v>
      </c>
      <c r="AH260" s="10">
        <f t="shared" si="112"/>
        <v>2.7616633391047092</v>
      </c>
      <c r="AI260" s="10">
        <f t="shared" si="112"/>
        <v>2.94561465134018</v>
      </c>
      <c r="AJ260" s="10">
        <f t="shared" si="112"/>
        <v>3.1296725958042124</v>
      </c>
      <c r="AK260" s="10">
        <f t="shared" si="112"/>
        <v>3.3165605314719908</v>
      </c>
      <c r="AL260" s="10">
        <f t="shared" si="112"/>
        <v>3.5086720727514087</v>
      </c>
      <c r="AM260" s="10">
        <f t="shared" si="112"/>
        <v>4.4958942777698656</v>
      </c>
      <c r="AN260" s="10">
        <f t="shared" si="112"/>
        <v>5.5846671473061154</v>
      </c>
      <c r="AO260" s="186">
        <f t="shared" si="109"/>
        <v>5.5846671473061154</v>
      </c>
      <c r="AP260" s="186">
        <f t="shared" si="109"/>
        <v>5.5846671473061154</v>
      </c>
      <c r="AQ260" s="186"/>
      <c r="AR260" s="186"/>
      <c r="AS260" s="186"/>
      <c r="AT260" s="186"/>
      <c r="AU260" s="186"/>
      <c r="AV260" s="186"/>
    </row>
    <row r="261" spans="1:48" s="223" customFormat="1">
      <c r="B261" s="224" t="str">
        <f t="shared" si="110"/>
        <v>COM_PROJ</v>
      </c>
      <c r="C261" s="224" t="str">
        <f t="shared" si="104"/>
        <v>-</v>
      </c>
      <c r="D261" s="224" t="str">
        <f>COM!B177</f>
        <v>CNL</v>
      </c>
      <c r="E261" s="224" t="str">
        <f t="shared" si="105"/>
        <v>-</v>
      </c>
      <c r="F261" s="224" t="str">
        <f t="shared" si="105"/>
        <v>-</v>
      </c>
      <c r="G261" s="224" t="str">
        <f t="shared" si="105"/>
        <v>-</v>
      </c>
      <c r="H261" s="224" t="str">
        <f t="shared" si="105"/>
        <v>-</v>
      </c>
      <c r="I261" s="224">
        <f t="shared" si="106"/>
        <v>0</v>
      </c>
      <c r="J261" s="225">
        <f t="shared" si="111"/>
        <v>0</v>
      </c>
      <c r="K261" s="225">
        <f t="shared" si="111"/>
        <v>0</v>
      </c>
      <c r="L261" s="225">
        <f t="shared" si="111"/>
        <v>0</v>
      </c>
      <c r="M261" s="225">
        <f t="shared" si="111"/>
        <v>0</v>
      </c>
      <c r="N261" s="225">
        <f t="shared" si="111"/>
        <v>0</v>
      </c>
      <c r="O261" s="225">
        <f t="shared" si="111"/>
        <v>0</v>
      </c>
      <c r="P261" s="225">
        <f t="shared" si="111"/>
        <v>1.3772283906971867</v>
      </c>
      <c r="Q261" s="225">
        <f t="shared" si="111"/>
        <v>2.848081983139509</v>
      </c>
      <c r="R261" s="225">
        <f t="shared" si="111"/>
        <v>3.6854762213107977</v>
      </c>
      <c r="S261" s="225">
        <f t="shared" si="111"/>
        <v>5.3988356328009299</v>
      </c>
      <c r="T261" s="225">
        <f t="shared" si="111"/>
        <v>7.0904318944901314</v>
      </c>
      <c r="U261" s="225">
        <f t="shared" si="111"/>
        <v>8.7685113668127848</v>
      </c>
      <c r="V261" s="225">
        <f t="shared" si="111"/>
        <v>10.420849724851546</v>
      </c>
      <c r="W261" s="225">
        <f t="shared" si="111"/>
        <v>12.09565875404029</v>
      </c>
      <c r="X261" s="225">
        <f t="shared" si="111"/>
        <v>13.905328348838461</v>
      </c>
      <c r="Y261" s="225">
        <f t="shared" si="111"/>
        <v>15.693416978063171</v>
      </c>
      <c r="Z261" s="225">
        <f t="shared" si="112"/>
        <v>17.51368408638055</v>
      </c>
      <c r="AA261" s="225">
        <f t="shared" si="112"/>
        <v>19.354173993722885</v>
      </c>
      <c r="AB261" s="225">
        <f t="shared" si="112"/>
        <v>21.212120508498916</v>
      </c>
      <c r="AC261" s="225">
        <f t="shared" si="112"/>
        <v>23.201800582330041</v>
      </c>
      <c r="AD261" s="225">
        <f t="shared" si="112"/>
        <v>25.156599787337846</v>
      </c>
      <c r="AE261" s="225">
        <f t="shared" si="112"/>
        <v>27.199322194656595</v>
      </c>
      <c r="AF261" s="225">
        <f t="shared" si="112"/>
        <v>29.310064863509258</v>
      </c>
      <c r="AG261" s="225">
        <f t="shared" si="112"/>
        <v>31.481513972520297</v>
      </c>
      <c r="AH261" s="225">
        <f t="shared" si="112"/>
        <v>33.692890531830216</v>
      </c>
      <c r="AI261" s="225">
        <f t="shared" si="112"/>
        <v>35.937136359544141</v>
      </c>
      <c r="AJ261" s="225">
        <f t="shared" si="112"/>
        <v>38.182683123528321</v>
      </c>
      <c r="AK261" s="225">
        <f t="shared" si="112"/>
        <v>40.462756392783334</v>
      </c>
      <c r="AL261" s="225">
        <f t="shared" si="112"/>
        <v>42.806558781211677</v>
      </c>
      <c r="AM261" s="225">
        <f t="shared" si="112"/>
        <v>54.85088337838075</v>
      </c>
      <c r="AN261" s="225">
        <f t="shared" si="112"/>
        <v>68.134148064511507</v>
      </c>
      <c r="AO261" s="226">
        <f t="shared" si="109"/>
        <v>68.134148064511507</v>
      </c>
      <c r="AP261" s="226">
        <f t="shared" si="109"/>
        <v>68.134148064511507</v>
      </c>
      <c r="AQ261" s="226"/>
      <c r="AR261" s="226"/>
      <c r="AS261" s="226"/>
      <c r="AT261" s="226"/>
      <c r="AU261" s="226"/>
      <c r="AV261" s="226"/>
    </row>
    <row r="262" spans="1:48" s="185" customFormat="1">
      <c r="B262" s="22" t="str">
        <f t="shared" si="110"/>
        <v>COM_PROJ</v>
      </c>
      <c r="C262" s="23" t="str">
        <f t="shared" si="104"/>
        <v>-</v>
      </c>
      <c r="D262" s="22" t="str">
        <f>COM!B178</f>
        <v>CNR</v>
      </c>
      <c r="E262" s="23" t="str">
        <f t="shared" si="105"/>
        <v>-</v>
      </c>
      <c r="F262" s="23" t="str">
        <f t="shared" si="105"/>
        <v>-</v>
      </c>
      <c r="G262" s="23" t="str">
        <f t="shared" si="105"/>
        <v>-</v>
      </c>
      <c r="H262" s="23" t="str">
        <f t="shared" si="105"/>
        <v>-</v>
      </c>
      <c r="I262" s="22">
        <f t="shared" si="106"/>
        <v>0</v>
      </c>
      <c r="J262" s="10">
        <f t="shared" si="111"/>
        <v>0</v>
      </c>
      <c r="K262" s="10">
        <f t="shared" si="111"/>
        <v>0</v>
      </c>
      <c r="L262" s="10">
        <f t="shared" si="111"/>
        <v>0</v>
      </c>
      <c r="M262" s="10">
        <f t="shared" si="111"/>
        <v>0</v>
      </c>
      <c r="N262" s="10">
        <f t="shared" si="111"/>
        <v>0</v>
      </c>
      <c r="O262" s="10">
        <f t="shared" si="111"/>
        <v>0</v>
      </c>
      <c r="P262" s="10">
        <f t="shared" si="111"/>
        <v>0.3350302874487357</v>
      </c>
      <c r="Q262" s="10">
        <f t="shared" si="111"/>
        <v>0.69283622958553637</v>
      </c>
      <c r="R262" s="10">
        <f t="shared" si="111"/>
        <v>0.89654422327597971</v>
      </c>
      <c r="S262" s="10">
        <f t="shared" si="111"/>
        <v>1.3133431362318395</v>
      </c>
      <c r="T262" s="10">
        <f t="shared" si="111"/>
        <v>1.724847855150714</v>
      </c>
      <c r="U262" s="10">
        <f t="shared" si="111"/>
        <v>2.1330644238561254</v>
      </c>
      <c r="V262" s="10">
        <f t="shared" si="111"/>
        <v>2.5350191023942732</v>
      </c>
      <c r="W262" s="10">
        <f t="shared" si="111"/>
        <v>2.9424400895457175</v>
      </c>
      <c r="X262" s="10">
        <f t="shared" si="111"/>
        <v>3.3826678169348883</v>
      </c>
      <c r="Y262" s="10">
        <f t="shared" si="111"/>
        <v>3.8176456691774705</v>
      </c>
      <c r="Z262" s="10">
        <f t="shared" si="112"/>
        <v>4.2604513916359892</v>
      </c>
      <c r="AA262" s="10">
        <f t="shared" si="112"/>
        <v>4.7081765960163988</v>
      </c>
      <c r="AB262" s="10">
        <f t="shared" si="112"/>
        <v>5.1601483670853066</v>
      </c>
      <c r="AC262" s="10">
        <f t="shared" si="112"/>
        <v>5.6441661898149205</v>
      </c>
      <c r="AD262" s="10">
        <f t="shared" si="112"/>
        <v>6.1196987478003031</v>
      </c>
      <c r="AE262" s="10">
        <f t="shared" si="112"/>
        <v>6.6166198684544648</v>
      </c>
      <c r="AF262" s="10">
        <f t="shared" si="112"/>
        <v>7.1300878798988387</v>
      </c>
      <c r="AG262" s="10">
        <f t="shared" si="112"/>
        <v>7.6583235916270809</v>
      </c>
      <c r="AH262" s="10">
        <f t="shared" si="112"/>
        <v>8.19627222042927</v>
      </c>
      <c r="AI262" s="10">
        <f t="shared" si="112"/>
        <v>8.7422167637188526</v>
      </c>
      <c r="AJ262" s="10">
        <f t="shared" si="112"/>
        <v>9.2884777781584056</v>
      </c>
      <c r="AK262" s="10">
        <f t="shared" si="112"/>
        <v>9.8431378533954437</v>
      </c>
      <c r="AL262" s="10">
        <f t="shared" si="112"/>
        <v>10.413300938343664</v>
      </c>
      <c r="AM262" s="10">
        <f t="shared" si="112"/>
        <v>13.343253268089573</v>
      </c>
      <c r="AN262" s="10">
        <f t="shared" si="112"/>
        <v>16.574595299747212</v>
      </c>
      <c r="AO262" s="186">
        <f t="shared" si="109"/>
        <v>16.574595299747212</v>
      </c>
      <c r="AP262" s="186">
        <f t="shared" si="109"/>
        <v>16.574595299747212</v>
      </c>
      <c r="AQ262" s="186"/>
      <c r="AR262" s="186"/>
      <c r="AS262" s="186"/>
      <c r="AT262" s="186"/>
      <c r="AU262" s="186"/>
      <c r="AV262" s="186"/>
    </row>
    <row r="263" spans="1:48" s="185" customFormat="1">
      <c r="B263" s="22" t="str">
        <f t="shared" si="110"/>
        <v>COM_PROJ</v>
      </c>
      <c r="C263" s="23" t="str">
        <f t="shared" si="104"/>
        <v>-</v>
      </c>
      <c r="D263" s="22" t="str">
        <f>COM!B179</f>
        <v>CNW</v>
      </c>
      <c r="E263" s="23" t="str">
        <f t="shared" si="105"/>
        <v>-</v>
      </c>
      <c r="F263" s="23" t="str">
        <f t="shared" si="105"/>
        <v>-</v>
      </c>
      <c r="G263" s="23" t="str">
        <f t="shared" si="105"/>
        <v>-</v>
      </c>
      <c r="H263" s="23" t="str">
        <f t="shared" si="105"/>
        <v>-</v>
      </c>
      <c r="I263" s="22">
        <f t="shared" si="106"/>
        <v>0</v>
      </c>
      <c r="J263" s="10">
        <f t="shared" si="111"/>
        <v>0</v>
      </c>
      <c r="K263" s="10">
        <f t="shared" si="111"/>
        <v>0</v>
      </c>
      <c r="L263" s="10">
        <f t="shared" si="111"/>
        <v>0</v>
      </c>
      <c r="M263" s="10">
        <f t="shared" si="111"/>
        <v>0</v>
      </c>
      <c r="N263" s="10">
        <f t="shared" si="111"/>
        <v>0</v>
      </c>
      <c r="O263" s="10">
        <f t="shared" si="111"/>
        <v>0</v>
      </c>
      <c r="P263" s="10">
        <f t="shared" si="111"/>
        <v>0.17464786244388691</v>
      </c>
      <c r="Q263" s="10">
        <f t="shared" si="111"/>
        <v>0.36116844074675197</v>
      </c>
      <c r="R263" s="10">
        <f t="shared" si="111"/>
        <v>0.46735933450650663</v>
      </c>
      <c r="S263" s="10">
        <f t="shared" si="111"/>
        <v>0.6846323451677141</v>
      </c>
      <c r="T263" s="10">
        <f t="shared" si="111"/>
        <v>0.89914554662192836</v>
      </c>
      <c r="U263" s="10">
        <f t="shared" si="111"/>
        <v>1.1119446689982515</v>
      </c>
      <c r="V263" s="10">
        <f t="shared" si="111"/>
        <v>1.321479532071635</v>
      </c>
      <c r="W263" s="10">
        <f t="shared" si="111"/>
        <v>1.5338639259204025</v>
      </c>
      <c r="X263" s="10">
        <f t="shared" si="111"/>
        <v>1.7633501379358263</v>
      </c>
      <c r="Y263" s="10">
        <f t="shared" si="111"/>
        <v>1.9900996437285645</v>
      </c>
      <c r="Z263" s="10">
        <f t="shared" si="112"/>
        <v>2.2209297382081115</v>
      </c>
      <c r="AA263" s="10">
        <f t="shared" si="112"/>
        <v>2.4543243083012873</v>
      </c>
      <c r="AB263" s="10">
        <f t="shared" si="112"/>
        <v>2.689932570178927</v>
      </c>
      <c r="AC263" s="10">
        <f t="shared" si="112"/>
        <v>2.9422461110476941</v>
      </c>
      <c r="AD263" s="10">
        <f t="shared" si="112"/>
        <v>3.1901363701853209</v>
      </c>
      <c r="AE263" s="10">
        <f t="shared" si="112"/>
        <v>3.4491762682982627</v>
      </c>
      <c r="AF263" s="10">
        <f t="shared" si="112"/>
        <v>3.7168418913527006</v>
      </c>
      <c r="AG263" s="10">
        <f t="shared" si="112"/>
        <v>3.992205765533714</v>
      </c>
      <c r="AH263" s="10">
        <f t="shared" si="112"/>
        <v>4.2726328840499717</v>
      </c>
      <c r="AI263" s="10">
        <f t="shared" si="112"/>
        <v>4.5572281910131345</v>
      </c>
      <c r="AJ263" s="10">
        <f t="shared" si="112"/>
        <v>4.8419884711501808</v>
      </c>
      <c r="AK263" s="10">
        <f t="shared" si="112"/>
        <v>5.1311270957825483</v>
      </c>
      <c r="AL263" s="10">
        <f t="shared" si="112"/>
        <v>5.428347280825836</v>
      </c>
      <c r="AM263" s="10">
        <f t="shared" si="112"/>
        <v>6.9557014652767215</v>
      </c>
      <c r="AN263" s="10">
        <f t="shared" si="112"/>
        <v>8.6401670189781807</v>
      </c>
      <c r="AO263" s="186">
        <f t="shared" si="109"/>
        <v>8.6401670189781807</v>
      </c>
      <c r="AP263" s="186">
        <f t="shared" si="109"/>
        <v>8.6401670189781807</v>
      </c>
      <c r="AQ263" s="186"/>
      <c r="AR263" s="186"/>
      <c r="AS263" s="186"/>
      <c r="AT263" s="186"/>
      <c r="AU263" s="186"/>
      <c r="AV263" s="186"/>
    </row>
    <row r="264" spans="1:48" s="185" customFormat="1">
      <c r="B264" s="22" t="str">
        <f t="shared" si="110"/>
        <v>COM_PROJ</v>
      </c>
      <c r="C264" s="23" t="str">
        <f t="shared" si="104"/>
        <v>-</v>
      </c>
      <c r="D264" s="22" t="str">
        <f>COM!B180</f>
        <v>CNG</v>
      </c>
      <c r="E264" s="23" t="str">
        <f t="shared" ref="E264:H266" si="113">IF($A264="*","","-")</f>
        <v>-</v>
      </c>
      <c r="F264" s="23" t="str">
        <f t="shared" si="113"/>
        <v>-</v>
      </c>
      <c r="G264" s="23" t="str">
        <f t="shared" si="113"/>
        <v>-</v>
      </c>
      <c r="H264" s="23" t="str">
        <f t="shared" si="113"/>
        <v>-</v>
      </c>
      <c r="I264" s="22">
        <f t="shared" si="106"/>
        <v>0</v>
      </c>
      <c r="J264" s="10">
        <f t="shared" si="111"/>
        <v>0</v>
      </c>
      <c r="K264" s="10">
        <f t="shared" si="111"/>
        <v>0</v>
      </c>
      <c r="L264" s="10">
        <f t="shared" si="111"/>
        <v>0</v>
      </c>
      <c r="M264" s="10">
        <f t="shared" si="111"/>
        <v>0</v>
      </c>
      <c r="N264" s="10">
        <f t="shared" si="111"/>
        <v>0</v>
      </c>
      <c r="O264" s="10">
        <f t="shared" si="111"/>
        <v>0</v>
      </c>
      <c r="P264" s="10">
        <f t="shared" si="111"/>
        <v>0</v>
      </c>
      <c r="Q264" s="10">
        <f t="shared" si="111"/>
        <v>0</v>
      </c>
      <c r="R264" s="10">
        <f t="shared" si="111"/>
        <v>0</v>
      </c>
      <c r="S264" s="10">
        <f t="shared" si="111"/>
        <v>0</v>
      </c>
      <c r="T264" s="10">
        <f t="shared" si="111"/>
        <v>0</v>
      </c>
      <c r="U264" s="10">
        <f t="shared" si="111"/>
        <v>0</v>
      </c>
      <c r="V264" s="10">
        <f t="shared" si="111"/>
        <v>0</v>
      </c>
      <c r="W264" s="10">
        <f t="shared" si="111"/>
        <v>0</v>
      </c>
      <c r="X264" s="10">
        <f t="shared" si="111"/>
        <v>0</v>
      </c>
      <c r="Y264" s="10">
        <f t="shared" si="111"/>
        <v>0</v>
      </c>
      <c r="Z264" s="10">
        <f t="shared" si="112"/>
        <v>0</v>
      </c>
      <c r="AA264" s="10">
        <f t="shared" si="112"/>
        <v>0</v>
      </c>
      <c r="AB264" s="10">
        <f t="shared" si="112"/>
        <v>0</v>
      </c>
      <c r="AC264" s="10">
        <f t="shared" si="112"/>
        <v>0</v>
      </c>
      <c r="AD264" s="10">
        <f t="shared" si="112"/>
        <v>0</v>
      </c>
      <c r="AE264" s="10">
        <f t="shared" si="112"/>
        <v>0</v>
      </c>
      <c r="AF264" s="10">
        <f t="shared" si="112"/>
        <v>0</v>
      </c>
      <c r="AG264" s="10">
        <f t="shared" si="112"/>
        <v>0</v>
      </c>
      <c r="AH264" s="10">
        <f t="shared" si="112"/>
        <v>0</v>
      </c>
      <c r="AI264" s="10">
        <f t="shared" si="112"/>
        <v>0</v>
      </c>
      <c r="AJ264" s="10">
        <f t="shared" si="112"/>
        <v>0</v>
      </c>
      <c r="AK264" s="10">
        <f t="shared" si="112"/>
        <v>0</v>
      </c>
      <c r="AL264" s="10">
        <f t="shared" si="112"/>
        <v>0</v>
      </c>
      <c r="AM264" s="10">
        <f t="shared" si="112"/>
        <v>0</v>
      </c>
      <c r="AN264" s="10">
        <f t="shared" si="112"/>
        <v>0</v>
      </c>
      <c r="AO264" s="186">
        <f t="shared" si="109"/>
        <v>0</v>
      </c>
      <c r="AP264" s="186">
        <f t="shared" si="109"/>
        <v>0</v>
      </c>
      <c r="AQ264" s="186"/>
      <c r="AR264" s="186"/>
      <c r="AS264" s="186"/>
      <c r="AT264" s="186"/>
      <c r="AU264" s="186"/>
      <c r="AV264" s="186"/>
    </row>
    <row r="265" spans="1:48" s="185" customFormat="1">
      <c r="B265" s="22" t="str">
        <f t="shared" si="110"/>
        <v>COM_PROJ</v>
      </c>
      <c r="C265" s="23" t="str">
        <f t="shared" si="104"/>
        <v>-</v>
      </c>
      <c r="D265" s="22" t="str">
        <f>COM!B181</f>
        <v>CNT</v>
      </c>
      <c r="E265" s="23" t="str">
        <f t="shared" si="113"/>
        <v>-</v>
      </c>
      <c r="F265" s="23" t="str">
        <f t="shared" si="113"/>
        <v>-</v>
      </c>
      <c r="G265" s="23" t="str">
        <f t="shared" si="113"/>
        <v>-</v>
      </c>
      <c r="H265" s="23" t="str">
        <f t="shared" si="113"/>
        <v>-</v>
      </c>
      <c r="I265" s="22">
        <f t="shared" si="106"/>
        <v>0</v>
      </c>
      <c r="J265" s="10">
        <f t="shared" si="111"/>
        <v>0</v>
      </c>
      <c r="K265" s="10">
        <f t="shared" si="111"/>
        <v>0</v>
      </c>
      <c r="L265" s="10">
        <f t="shared" si="111"/>
        <v>0</v>
      </c>
      <c r="M265" s="10">
        <f t="shared" si="111"/>
        <v>0</v>
      </c>
      <c r="N265" s="10">
        <f t="shared" si="111"/>
        <v>0</v>
      </c>
      <c r="O265" s="10">
        <f t="shared" si="111"/>
        <v>0</v>
      </c>
      <c r="P265" s="10">
        <f t="shared" si="111"/>
        <v>0</v>
      </c>
      <c r="Q265" s="10">
        <f t="shared" si="111"/>
        <v>0</v>
      </c>
      <c r="R265" s="10">
        <f t="shared" si="111"/>
        <v>0</v>
      </c>
      <c r="S265" s="10">
        <f t="shared" si="111"/>
        <v>0</v>
      </c>
      <c r="T265" s="10">
        <f t="shared" si="111"/>
        <v>0</v>
      </c>
      <c r="U265" s="10">
        <f t="shared" si="111"/>
        <v>0</v>
      </c>
      <c r="V265" s="10">
        <f t="shared" si="111"/>
        <v>0</v>
      </c>
      <c r="W265" s="10">
        <f t="shared" si="111"/>
        <v>0</v>
      </c>
      <c r="X265" s="10">
        <f t="shared" si="111"/>
        <v>0</v>
      </c>
      <c r="Y265" s="10">
        <f t="shared" si="111"/>
        <v>0</v>
      </c>
      <c r="Z265" s="10">
        <f t="shared" si="112"/>
        <v>0</v>
      </c>
      <c r="AA265" s="10">
        <f t="shared" si="112"/>
        <v>0</v>
      </c>
      <c r="AB265" s="10">
        <f t="shared" si="112"/>
        <v>0</v>
      </c>
      <c r="AC265" s="10">
        <f t="shared" si="112"/>
        <v>0</v>
      </c>
      <c r="AD265" s="10">
        <f t="shared" si="112"/>
        <v>0</v>
      </c>
      <c r="AE265" s="10">
        <f t="shared" si="112"/>
        <v>0</v>
      </c>
      <c r="AF265" s="10">
        <f t="shared" si="112"/>
        <v>0</v>
      </c>
      <c r="AG265" s="10">
        <f t="shared" si="112"/>
        <v>0</v>
      </c>
      <c r="AH265" s="10">
        <f t="shared" si="112"/>
        <v>0</v>
      </c>
      <c r="AI265" s="10">
        <f t="shared" si="112"/>
        <v>0</v>
      </c>
      <c r="AJ265" s="10">
        <f t="shared" si="112"/>
        <v>0</v>
      </c>
      <c r="AK265" s="10">
        <f t="shared" si="112"/>
        <v>0</v>
      </c>
      <c r="AL265" s="10">
        <f t="shared" si="112"/>
        <v>0</v>
      </c>
      <c r="AM265" s="10">
        <f t="shared" si="112"/>
        <v>0</v>
      </c>
      <c r="AN265" s="10">
        <f t="shared" si="112"/>
        <v>0</v>
      </c>
      <c r="AO265" s="186">
        <f>AN265</f>
        <v>0</v>
      </c>
      <c r="AP265" s="186">
        <f>AO265</f>
        <v>0</v>
      </c>
      <c r="AQ265" s="186"/>
      <c r="AR265" s="186"/>
      <c r="AS265" s="186"/>
      <c r="AT265" s="186"/>
      <c r="AU265" s="186"/>
      <c r="AV265" s="186"/>
    </row>
    <row r="266" spans="1:48" s="185" customFormat="1">
      <c r="B266" s="22" t="str">
        <f t="shared" si="110"/>
        <v>COM_PROJ</v>
      </c>
      <c r="C266" s="23" t="str">
        <f t="shared" si="104"/>
        <v>-</v>
      </c>
      <c r="D266" s="22" t="str">
        <f>COM!B182</f>
        <v>CNO</v>
      </c>
      <c r="E266" s="23" t="str">
        <f t="shared" si="113"/>
        <v>-</v>
      </c>
      <c r="F266" s="23" t="str">
        <f t="shared" si="113"/>
        <v>-</v>
      </c>
      <c r="G266" s="23" t="str">
        <f t="shared" si="113"/>
        <v>-</v>
      </c>
      <c r="H266" s="23" t="str">
        <f t="shared" si="113"/>
        <v>-</v>
      </c>
      <c r="I266" s="22">
        <f t="shared" si="106"/>
        <v>0</v>
      </c>
      <c r="J266" s="10">
        <f t="shared" si="111"/>
        <v>0</v>
      </c>
      <c r="K266" s="10">
        <f t="shared" si="111"/>
        <v>0</v>
      </c>
      <c r="L266" s="10">
        <f t="shared" si="111"/>
        <v>0</v>
      </c>
      <c r="M266" s="10">
        <f t="shared" si="111"/>
        <v>0</v>
      </c>
      <c r="N266" s="10">
        <f t="shared" si="111"/>
        <v>0</v>
      </c>
      <c r="O266" s="10">
        <f t="shared" si="111"/>
        <v>0</v>
      </c>
      <c r="P266" s="10">
        <f t="shared" si="111"/>
        <v>0.22366371570704255</v>
      </c>
      <c r="Q266" s="10">
        <f t="shared" si="111"/>
        <v>0.46253228824653669</v>
      </c>
      <c r="R266" s="10">
        <f t="shared" si="111"/>
        <v>0.59852622221288887</v>
      </c>
      <c r="S266" s="10">
        <f t="shared" si="111"/>
        <v>0.87677806112649204</v>
      </c>
      <c r="T266" s="10">
        <f t="shared" si="111"/>
        <v>1.1514955356726129</v>
      </c>
      <c r="U266" s="10">
        <f t="shared" si="111"/>
        <v>1.4240178657136013</v>
      </c>
      <c r="V266" s="10">
        <f t="shared" si="111"/>
        <v>1.6923598046836066</v>
      </c>
      <c r="W266" s="10">
        <f t="shared" si="111"/>
        <v>1.9643510104257644</v>
      </c>
      <c r="X266" s="10">
        <f t="shared" si="111"/>
        <v>2.2582437507356836</v>
      </c>
      <c r="Y266" s="10">
        <f t="shared" si="111"/>
        <v>2.5486317136380867</v>
      </c>
      <c r="Z266" s="10">
        <f t="shared" si="112"/>
        <v>2.8442455041870032</v>
      </c>
      <c r="AA266" s="10">
        <f t="shared" si="112"/>
        <v>3.1431435040961606</v>
      </c>
      <c r="AB266" s="10">
        <f t="shared" si="112"/>
        <v>3.444876480185473</v>
      </c>
      <c r="AC266" s="10">
        <f t="shared" si="112"/>
        <v>3.7680031608343176</v>
      </c>
      <c r="AD266" s="10">
        <f t="shared" si="112"/>
        <v>4.0854651421632733</v>
      </c>
      <c r="AE266" s="10">
        <f t="shared" si="112"/>
        <v>4.4172059680604656</v>
      </c>
      <c r="AF266" s="10">
        <f t="shared" si="112"/>
        <v>4.7599933745689826</v>
      </c>
      <c r="AG266" s="10">
        <f t="shared" si="112"/>
        <v>5.1126395874053987</v>
      </c>
      <c r="AH266" s="10">
        <f t="shared" si="112"/>
        <v>5.4717700710808987</v>
      </c>
      <c r="AI266" s="10">
        <f t="shared" si="112"/>
        <v>5.8362385675024857</v>
      </c>
      <c r="AJ266" s="10">
        <f t="shared" si="112"/>
        <v>6.2009183376983179</v>
      </c>
      <c r="AK266" s="10">
        <f t="shared" si="112"/>
        <v>6.5712052581035252</v>
      </c>
      <c r="AL266" s="10">
        <f t="shared" si="112"/>
        <v>6.9518418719142163</v>
      </c>
      <c r="AM266" s="10">
        <f t="shared" si="112"/>
        <v>8.9078561472377569</v>
      </c>
      <c r="AN266" s="10">
        <f t="shared" si="112"/>
        <v>11.065075934811379</v>
      </c>
      <c r="AO266" s="186">
        <f>AN266</f>
        <v>11.065075934811379</v>
      </c>
      <c r="AP266" s="186">
        <f>AO266</f>
        <v>11.065075934811379</v>
      </c>
      <c r="AQ266" s="186"/>
      <c r="AR266" s="186"/>
      <c r="AS266" s="186"/>
      <c r="AT266" s="186"/>
      <c r="AU266" s="186"/>
      <c r="AV266" s="186"/>
    </row>
    <row r="267" spans="1:48">
      <c r="K267" s="87"/>
    </row>
    <row r="268" spans="1:48">
      <c r="K268" s="87"/>
    </row>
    <row r="269" spans="1:48">
      <c r="M269" s="94"/>
      <c r="AB269" s="94"/>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heetViews>
  <sheetFormatPr defaultColWidth="9.140625" defaultRowHeight="11.25"/>
  <cols>
    <col min="1" max="1" width="12.42578125" style="18" customWidth="1"/>
    <col min="2" max="2" width="9.140625" style="18"/>
    <col min="3" max="3" width="11" style="18" customWidth="1"/>
    <col min="4" max="4" width="36.85546875" style="18" customWidth="1"/>
    <col min="5" max="5" width="10.140625" style="18" customWidth="1"/>
    <col min="6" max="6" width="28.85546875" style="18" customWidth="1"/>
    <col min="7" max="16384" width="9.140625" style="18"/>
  </cols>
  <sheetData>
    <row r="1" spans="1:9">
      <c r="A1" s="16" t="s">
        <v>28</v>
      </c>
      <c r="B1" s="18" t="s">
        <v>17</v>
      </c>
      <c r="I1" s="18" t="s">
        <v>78</v>
      </c>
    </row>
    <row r="2" spans="1:9">
      <c r="A2" s="18" t="s">
        <v>16</v>
      </c>
    </row>
    <row r="3" spans="1:9">
      <c r="A3" s="18" t="s">
        <v>16</v>
      </c>
    </row>
    <row r="4" spans="1:9">
      <c r="A4" s="18" t="s">
        <v>16</v>
      </c>
      <c r="B4" s="16" t="s">
        <v>30</v>
      </c>
      <c r="C4" s="26" t="s">
        <v>31</v>
      </c>
      <c r="D4" s="16" t="s">
        <v>32</v>
      </c>
      <c r="E4" s="16" t="s">
        <v>33</v>
      </c>
      <c r="F4" s="16" t="s">
        <v>34</v>
      </c>
      <c r="G4" s="16" t="s">
        <v>35</v>
      </c>
    </row>
    <row r="5" spans="1:9">
      <c r="A5" s="18" t="s">
        <v>16</v>
      </c>
      <c r="B5" s="16" t="s">
        <v>79</v>
      </c>
      <c r="C5" s="26"/>
      <c r="D5" s="16"/>
      <c r="E5" s="16"/>
      <c r="F5" s="16"/>
      <c r="G5" s="16"/>
    </row>
    <row r="6" spans="1:9">
      <c r="A6" s="18" t="str">
        <f>[2]ITEMS_Comm!A9</f>
        <v/>
      </c>
      <c r="B6" s="19" t="str">
        <f>[2]ITEMS_Comm!B9</f>
        <v>E</v>
      </c>
      <c r="C6" s="45" t="str">
        <f>[2]ITEMS_Comm!C9</f>
        <v>TPPRSUV</v>
      </c>
      <c r="D6" s="44" t="str">
        <f>[2]ITEMS_Comm!D9</f>
        <v>Transport Passenger SUV Priv.Veh.</v>
      </c>
      <c r="E6" s="19" t="str">
        <f>[2]ITEMS_Comm!E9</f>
        <v>PJ</v>
      </c>
      <c r="F6" s="19" t="str">
        <f>[2]ITEMS_Comm!F9</f>
        <v>COM,DEM,ANNUAL,RES</v>
      </c>
    </row>
    <row r="7" spans="1:9">
      <c r="A7" s="18" t="str">
        <f>[2]ITEMS_Comm!A10</f>
        <v/>
      </c>
      <c r="B7" s="19" t="str">
        <f>[2]ITEMS_Comm!B10</f>
        <v>E</v>
      </c>
      <c r="C7" s="45" t="str">
        <f>[2]ITEMS_Comm!C10</f>
        <v>TPPRCAR</v>
      </c>
      <c r="D7" s="44" t="str">
        <f>[2]ITEMS_Comm!D10</f>
        <v>Transport Passenger Car Priv.Veh.</v>
      </c>
      <c r="E7" s="19" t="str">
        <f>[2]ITEMS_Comm!E10</f>
        <v>PJ</v>
      </c>
      <c r="F7" s="19" t="str">
        <f>[2]ITEMS_Comm!F10</f>
        <v>COM,DEM,ANNUAL,RES</v>
      </c>
    </row>
    <row r="8" spans="1:9">
      <c r="A8" s="18" t="str">
        <f>[2]ITEMS_Comm!A11</f>
        <v/>
      </c>
      <c r="B8" s="19" t="str">
        <f>[2]ITEMS_Comm!B11</f>
        <v>E</v>
      </c>
      <c r="C8" s="45" t="str">
        <f>[2]ITEMS_Comm!C11</f>
        <v>TPPRMOT</v>
      </c>
      <c r="D8" s="44" t="str">
        <f>[2]ITEMS_Comm!D11</f>
        <v>Transport Passenger Moto Priv.Veh.</v>
      </c>
      <c r="E8" s="19" t="str">
        <f>[2]ITEMS_Comm!E11</f>
        <v>PJ</v>
      </c>
      <c r="F8" s="19" t="str">
        <f>[2]ITEMS_Comm!F11</f>
        <v>COM,DEM,ANNUAL,RES</v>
      </c>
    </row>
    <row r="9" spans="1:9">
      <c r="A9" s="18" t="str">
        <f>[2]ITEMS_Comm!A12</f>
        <v/>
      </c>
      <c r="B9" s="19" t="str">
        <f>[2]ITEMS_Comm!B12</f>
        <v>E</v>
      </c>
      <c r="C9" s="45" t="str">
        <f>[2]ITEMS_Comm!C12</f>
        <v>TPPUBUS</v>
      </c>
      <c r="D9" s="44" t="str">
        <f>[2]ITEMS_Comm!D12</f>
        <v>Transport Passenger Bus</v>
      </c>
      <c r="E9" s="19" t="str">
        <f>[2]ITEMS_Comm!E12</f>
        <v>PJ</v>
      </c>
      <c r="F9" s="19" t="str">
        <f>[2]ITEMS_Comm!F12</f>
        <v>COM,DEM,ANNUAL,RES</v>
      </c>
    </row>
    <row r="10" spans="1:9">
      <c r="A10" s="18" t="str">
        <f>[2]ITEMS_Comm!A13</f>
        <v/>
      </c>
      <c r="B10" s="19" t="str">
        <f>[2]ITEMS_Comm!B13</f>
        <v>E</v>
      </c>
      <c r="C10" s="45" t="str">
        <f>[2]ITEMS_Comm!C13</f>
        <v>TPPUMBT</v>
      </c>
      <c r="D10" s="44" t="str">
        <f>[2]ITEMS_Comm!D13</f>
        <v>Transport Passenger Minibus</v>
      </c>
      <c r="E10" s="19" t="str">
        <f>[2]ITEMS_Comm!E13</f>
        <v>PJ</v>
      </c>
      <c r="F10" s="19" t="str">
        <f>[2]ITEMS_Comm!F13</f>
        <v>COM,DEM,ANNUAL,RES</v>
      </c>
    </row>
    <row r="11" spans="1:9">
      <c r="A11" s="18" t="str">
        <f>[2]ITEMS_Comm!A14</f>
        <v/>
      </c>
      <c r="B11" s="19" t="str">
        <f>[2]ITEMS_Comm!B14</f>
        <v>E</v>
      </c>
      <c r="C11" s="45" t="str">
        <f>[2]ITEMS_Comm!C14</f>
        <v>TPPUBRT</v>
      </c>
      <c r="D11" s="44" t="str">
        <f>[2]ITEMS_Comm!D14</f>
        <v>Transport Passenger BRT</v>
      </c>
      <c r="E11" s="19" t="str">
        <f>[2]ITEMS_Comm!E14</f>
        <v>PJ</v>
      </c>
      <c r="F11" s="19" t="str">
        <f>[2]ITEMS_Comm!F14</f>
        <v>COM,DEM,ANNUAL,RES</v>
      </c>
    </row>
    <row r="12" spans="1:9">
      <c r="A12" s="18" t="str">
        <f>[2]ITEMS_Comm!A15</f>
        <v/>
      </c>
      <c r="B12" s="19" t="str">
        <f>[2]ITEMS_Comm!B15</f>
        <v>E</v>
      </c>
      <c r="C12" s="45" t="str">
        <f>[2]ITEMS_Comm!C15</f>
        <v>TPPUMER</v>
      </c>
      <c r="D12" s="44" t="str">
        <f>[2]ITEMS_Comm!D15</f>
        <v>Transport Passenger Metro Rail</v>
      </c>
      <c r="E12" s="19" t="str">
        <f>[2]ITEMS_Comm!E15</f>
        <v>PJ</v>
      </c>
      <c r="F12" s="19" t="str">
        <f>[2]ITEMS_Comm!F15</f>
        <v>COM,DEM,ANNUAL,RES</v>
      </c>
    </row>
    <row r="13" spans="1:9">
      <c r="A13" s="18" t="str">
        <f>[2]ITEMS_Comm!A16</f>
        <v/>
      </c>
      <c r="B13" s="19" t="str">
        <f>[2]ITEMS_Comm!B16</f>
        <v>E</v>
      </c>
      <c r="C13" s="45" t="str">
        <f>[2]ITEMS_Comm!C16</f>
        <v>TPPUGAT</v>
      </c>
      <c r="D13" s="44" t="str">
        <f>[2]ITEMS_Comm!D16</f>
        <v>Transport Passenger Gautrain</v>
      </c>
      <c r="E13" s="19" t="str">
        <f>[2]ITEMS_Comm!E16</f>
        <v>PJ</v>
      </c>
      <c r="F13" s="19" t="str">
        <f>[2]ITEMS_Comm!F16</f>
        <v>COM,DEM,ANNUAL,RES</v>
      </c>
    </row>
    <row r="14" spans="1:9">
      <c r="A14" s="18" t="str">
        <f>[2]ITEMS_Comm!A17</f>
        <v>*</v>
      </c>
      <c r="B14" s="19"/>
      <c r="C14" s="45"/>
      <c r="D14" s="44"/>
      <c r="E14" s="19"/>
      <c r="F14" s="19"/>
    </row>
    <row r="15" spans="1:9">
      <c r="B15" s="19" t="str">
        <f>[2]ITEMS_Comm!B18</f>
        <v>E</v>
      </c>
      <c r="C15" s="45" t="str">
        <f>[2]ITEMS_Comm!C18</f>
        <v>TFLCV</v>
      </c>
      <c r="D15" s="44" t="str">
        <f>[2]ITEMS_Comm!D18</f>
        <v>Transport Freight - LCV</v>
      </c>
      <c r="E15" s="19" t="str">
        <f>[2]ITEMS_Comm!E18</f>
        <v>PJ</v>
      </c>
      <c r="F15" s="19" t="str">
        <f>[2]ITEMS_Comm!F18</f>
        <v>COM,DEM,ANNUAL,RES</v>
      </c>
    </row>
    <row r="16" spans="1:9">
      <c r="B16" s="19" t="str">
        <f>[2]ITEMS_Comm!B19</f>
        <v>E</v>
      </c>
      <c r="C16" s="45" t="str">
        <f>[2]ITEMS_Comm!C19</f>
        <v>TFHCV1</v>
      </c>
      <c r="D16" s="44" t="str">
        <f>[2]ITEMS_Comm!D19</f>
        <v>Transport Freight - HCV1</v>
      </c>
      <c r="E16" s="19" t="str">
        <f>[2]ITEMS_Comm!E19</f>
        <v>PJ</v>
      </c>
      <c r="F16" s="19" t="str">
        <f>[2]ITEMS_Comm!F19</f>
        <v>COM,DEM,ANNUAL,RES</v>
      </c>
    </row>
    <row r="17" spans="1:6">
      <c r="B17" s="19" t="str">
        <f>[2]ITEMS_Comm!B20</f>
        <v>E</v>
      </c>
      <c r="C17" s="45" t="str">
        <f>[2]ITEMS_Comm!C20</f>
        <v>TFHCV2</v>
      </c>
      <c r="D17" s="44" t="str">
        <f>[2]ITEMS_Comm!D20</f>
        <v>Transport Freight - HCV2</v>
      </c>
      <c r="E17" s="19" t="str">
        <f>[2]ITEMS_Comm!E20</f>
        <v>PJ</v>
      </c>
      <c r="F17" s="19" t="str">
        <f>[2]ITEMS_Comm!F20</f>
        <v>COM,DEM,ANNUAL,RES</v>
      </c>
    </row>
    <row r="18" spans="1:6">
      <c r="B18" s="19" t="str">
        <f>[2]ITEMS_Comm!B21</f>
        <v>E</v>
      </c>
      <c r="C18" s="45" t="str">
        <f>[2]ITEMS_Comm!C21</f>
        <v>TFHCV3</v>
      </c>
      <c r="D18" s="44" t="str">
        <f>[2]ITEMS_Comm!D21</f>
        <v>Transport Freight - HCV3</v>
      </c>
      <c r="E18" s="19" t="str">
        <f>[2]ITEMS_Comm!E21</f>
        <v>PJ</v>
      </c>
      <c r="F18" s="19" t="str">
        <f>[2]ITEMS_Comm!F21</f>
        <v>COM,DEM,ANNUAL,RES</v>
      </c>
    </row>
    <row r="19" spans="1:6">
      <c r="B19" s="19" t="str">
        <f>[2]ITEMS_Comm!B22</f>
        <v>E</v>
      </c>
      <c r="C19" s="45" t="str">
        <f>[2]ITEMS_Comm!C22</f>
        <v>TFHCV4</v>
      </c>
      <c r="D19" s="44" t="str">
        <f>[2]ITEMS_Comm!D22</f>
        <v>Transport Freight - HCV4</v>
      </c>
      <c r="E19" s="19" t="str">
        <f>[2]ITEMS_Comm!E22</f>
        <v>PJ</v>
      </c>
      <c r="F19" s="19" t="str">
        <f>[2]ITEMS_Comm!F22</f>
        <v>COM,DEM,ANNUAL,RES</v>
      </c>
    </row>
    <row r="20" spans="1:6">
      <c r="B20" s="19" t="str">
        <f>[2]ITEMS_Comm!B23</f>
        <v>E</v>
      </c>
      <c r="C20" s="45" t="str">
        <f>[2]ITEMS_Comm!C23</f>
        <v>TFHCV5</v>
      </c>
      <c r="D20" s="44" t="str">
        <f>[2]ITEMS_Comm!D23</f>
        <v>Transport Freight - HCV5</v>
      </c>
      <c r="E20" s="19" t="str">
        <f>[2]ITEMS_Comm!E23</f>
        <v>PJ</v>
      </c>
      <c r="F20" s="19" t="str">
        <f>[2]ITEMS_Comm!F23</f>
        <v>COM,DEM,ANNUAL,RES</v>
      </c>
    </row>
    <row r="21" spans="1:6">
      <c r="B21" s="19" t="str">
        <f>[2]ITEMS_Comm!B24</f>
        <v>E</v>
      </c>
      <c r="C21" s="45" t="str">
        <f>[2]ITEMS_Comm!C24</f>
        <v>TFHCV6</v>
      </c>
      <c r="D21" s="44" t="str">
        <f>[2]ITEMS_Comm!D24</f>
        <v>Transport Freight - HCV6</v>
      </c>
      <c r="E21" s="19" t="str">
        <f>[2]ITEMS_Comm!E24</f>
        <v>PJ</v>
      </c>
      <c r="F21" s="19" t="str">
        <f>[2]ITEMS_Comm!F24</f>
        <v>COM,DEM,ANNUAL,RES</v>
      </c>
    </row>
    <row r="22" spans="1:6">
      <c r="B22" s="19" t="str">
        <f>[2]ITEMS_Comm!B25</f>
        <v>E</v>
      </c>
      <c r="C22" s="45" t="str">
        <f>[2]ITEMS_Comm!C25</f>
        <v>TFHCV7</v>
      </c>
      <c r="D22" s="44" t="str">
        <f>[2]ITEMS_Comm!D25</f>
        <v>Transport Freight - HCV7</v>
      </c>
      <c r="E22" s="19" t="str">
        <f>[2]ITEMS_Comm!E25</f>
        <v>PJ</v>
      </c>
      <c r="F22" s="19" t="str">
        <f>[2]ITEMS_Comm!F25</f>
        <v>COM,DEM,ANNUAL,RES</v>
      </c>
    </row>
    <row r="23" spans="1:6">
      <c r="B23" s="19" t="str">
        <f>[2]ITEMS_Comm!B26</f>
        <v>E</v>
      </c>
      <c r="C23" s="45" t="str">
        <f>[2]ITEMS_Comm!C26</f>
        <v>TFHCV8</v>
      </c>
      <c r="D23" s="44" t="str">
        <f>[2]ITEMS_Comm!D26</f>
        <v>Transport Freight - HCV8</v>
      </c>
      <c r="E23" s="19" t="str">
        <f>[2]ITEMS_Comm!E26</f>
        <v>PJ</v>
      </c>
      <c r="F23" s="19" t="str">
        <f>[2]ITEMS_Comm!F26</f>
        <v>COM,DEM,ANNUAL,RES</v>
      </c>
    </row>
    <row r="24" spans="1:6">
      <c r="B24" s="19" t="str">
        <f>[2]ITEMS_Comm!B27</f>
        <v>E</v>
      </c>
      <c r="C24" s="45" t="str">
        <f>[2]ITEMS_Comm!C27</f>
        <v>TFHCV9</v>
      </c>
      <c r="D24" s="44" t="str">
        <f>[2]ITEMS_Comm!D27</f>
        <v>Transport Freight - HCV9</v>
      </c>
      <c r="E24" s="19" t="str">
        <f>[2]ITEMS_Comm!E27</f>
        <v>PJ</v>
      </c>
      <c r="F24" s="19" t="str">
        <f>[2]ITEMS_Comm!F27</f>
        <v>COM,DEM,ANNUAL,RES</v>
      </c>
    </row>
    <row r="25" spans="1:6">
      <c r="A25" s="18" t="str">
        <f>[2]ITEMS_Comm!A28</f>
        <v/>
      </c>
      <c r="B25" s="19" t="str">
        <f>[2]ITEMS_Comm!B28</f>
        <v>E</v>
      </c>
      <c r="C25" s="45" t="str">
        <f>[2]ITEMS_Comm!C28</f>
        <v>TFRCO</v>
      </c>
      <c r="D25" s="44" t="str">
        <f>[2]ITEMS_Comm!D28</f>
        <v>Transport Freight - Rail Corridor</v>
      </c>
      <c r="E25" s="19" t="str">
        <f>[2]ITEMS_Comm!E28</f>
        <v>PJ</v>
      </c>
      <c r="F25" s="19" t="str">
        <f>[2]ITEMS_Comm!F28</f>
        <v>COM,DEM,ANNUAL,RES</v>
      </c>
    </row>
    <row r="26" spans="1:6">
      <c r="A26" s="18" t="str">
        <f>[2]ITEMS_Comm!A29</f>
        <v/>
      </c>
      <c r="B26" s="19" t="str">
        <f>[2]ITEMS_Comm!B29</f>
        <v>E</v>
      </c>
      <c r="C26" s="45" t="str">
        <f>[2]ITEMS_Comm!C29</f>
        <v>TFROT</v>
      </c>
      <c r="D26" s="44" t="str">
        <f>[2]ITEMS_Comm!D29</f>
        <v>Transport Freight - Rail Other</v>
      </c>
      <c r="E26" s="19" t="str">
        <f>[2]ITEMS_Comm!E29</f>
        <v>PJ</v>
      </c>
      <c r="F26" s="19" t="str">
        <f>[2]ITEMS_Comm!F29</f>
        <v>COM,DEM,ANNUAL,RES</v>
      </c>
    </row>
    <row r="27" spans="1:6">
      <c r="A27" s="18" t="str">
        <f>[2]ITEMS_Comm!A30</f>
        <v/>
      </c>
      <c r="B27" s="19" t="str">
        <f>[2]ITEMS_Comm!B30</f>
        <v>E</v>
      </c>
      <c r="C27" s="45" t="str">
        <f>[2]ITEMS_Comm!C30</f>
        <v>TFREX</v>
      </c>
      <c r="D27" s="44" t="str">
        <f>[2]ITEMS_Comm!D30</f>
        <v>Transport Freight - Rail Export (bulk mining)</v>
      </c>
      <c r="E27" s="19" t="str">
        <f>[2]ITEMS_Comm!E30</f>
        <v>PJ</v>
      </c>
      <c r="F27" s="19" t="str">
        <f>[2]ITEMS_Comm!F30</f>
        <v>COM,DEM,ANNUAL,RES</v>
      </c>
    </row>
    <row r="28" spans="1:6">
      <c r="A28" s="18" t="str">
        <f>[2]ITEMS_Comm!A31</f>
        <v>*</v>
      </c>
      <c r="B28" s="19"/>
      <c r="C28" s="45"/>
      <c r="D28" s="44"/>
      <c r="E28" s="19"/>
      <c r="F28" s="19"/>
    </row>
    <row r="29" spans="1:6">
      <c r="A29" s="18" t="str">
        <f>[2]ITEMS_Comm!A32</f>
        <v/>
      </c>
      <c r="B29" s="19" t="str">
        <f>[2]ITEMS_Comm!B32</f>
        <v>E</v>
      </c>
      <c r="C29" s="45" t="str">
        <f>[2]ITEMS_Comm!C32</f>
        <v>TFPIP</v>
      </c>
      <c r="D29" s="44" t="str">
        <f>[2]ITEMS_Comm!D32</f>
        <v>Transport Other - Pipeline</v>
      </c>
      <c r="E29" s="19" t="str">
        <f>[2]ITEMS_Comm!E32</f>
        <v>PJ</v>
      </c>
      <c r="F29" s="19" t="str">
        <f>[2]ITEMS_Comm!F32</f>
        <v>COM,DEM,ANNUAL,RES</v>
      </c>
    </row>
    <row r="30" spans="1:6">
      <c r="A30" s="18" t="str">
        <f>[2]ITEMS_Comm!A33</f>
        <v/>
      </c>
      <c r="B30" s="19" t="str">
        <f>[2]ITEMS_Comm!B33</f>
        <v>E</v>
      </c>
      <c r="C30" s="45" t="str">
        <f>[2]ITEMS_Comm!C33</f>
        <v>TAIJET</v>
      </c>
      <c r="D30" s="44" t="str">
        <f>[2]ITEMS_Comm!D33</f>
        <v xml:space="preserve">Transport Other -  Aviation Int Jet Fuel </v>
      </c>
      <c r="E30" s="19" t="str">
        <f>[2]ITEMS_Comm!E33</f>
        <v>PJ</v>
      </c>
      <c r="F30" s="19" t="str">
        <f>[2]ITEMS_Comm!F33</f>
        <v>COM,DEM,ANNUAL,RES</v>
      </c>
    </row>
    <row r="31" spans="1:6">
      <c r="A31" s="18" t="str">
        <f>[2]ITEMS_Comm!A34</f>
        <v/>
      </c>
      <c r="B31" s="19" t="str">
        <f>[2]ITEMS_Comm!B34</f>
        <v>E</v>
      </c>
      <c r="C31" s="45" t="str">
        <f>[2]ITEMS_Comm!C34</f>
        <v>TADJET</v>
      </c>
      <c r="D31" s="44" t="str">
        <f>[2]ITEMS_Comm!D34</f>
        <v xml:space="preserve">Transport Other -  Aviation Dom Jet Fuel </v>
      </c>
      <c r="E31" s="19" t="str">
        <f>[2]ITEMS_Comm!E34</f>
        <v>PJ</v>
      </c>
      <c r="F31" s="19" t="str">
        <f>[2]ITEMS_Comm!F34</f>
        <v>COM,DEM,ANNUAL,RES</v>
      </c>
    </row>
    <row r="32" spans="1:6">
      <c r="A32" s="18" t="str">
        <f>[2]ITEMS_Comm!A35</f>
        <v/>
      </c>
      <c r="B32" s="19" t="str">
        <f>[2]ITEMS_Comm!B35</f>
        <v>E</v>
      </c>
      <c r="C32" s="45" t="str">
        <f>[2]ITEMS_Comm!C35</f>
        <v>TAOAG</v>
      </c>
      <c r="D32" s="44" t="str">
        <f>[2]ITEMS_Comm!D35</f>
        <v>Transport Other - Aviation Gasoline</v>
      </c>
      <c r="E32" s="19" t="str">
        <f>[2]ITEMS_Comm!E35</f>
        <v>PJ</v>
      </c>
      <c r="F32" s="19" t="str">
        <f>[2]ITEMS_Comm!F35</f>
        <v>COM,DEM,ANNUAL,RES</v>
      </c>
    </row>
    <row r="33" spans="1:6">
      <c r="A33" s="18" t="str">
        <f>[2]ITEMS_Comm!A36</f>
        <v/>
      </c>
      <c r="B33" s="19" t="str">
        <f>[2]ITEMS_Comm!B36</f>
        <v>E</v>
      </c>
      <c r="C33" s="45" t="str">
        <f>[2]ITEMS_Comm!C36</f>
        <v>TSHFO</v>
      </c>
      <c r="D33" s="44" t="str">
        <f>[2]ITEMS_Comm!D36</f>
        <v>Transport Other - HFO</v>
      </c>
      <c r="E33" s="19" t="str">
        <f>[2]ITEMS_Comm!E36</f>
        <v>PJ</v>
      </c>
      <c r="F33" s="19" t="str">
        <f>[2]ITEMS_Comm!F36</f>
        <v>COM,DEM,ANNUAL,RES</v>
      </c>
    </row>
    <row r="34" spans="1:6">
      <c r="B34" s="19"/>
      <c r="C34" s="45"/>
      <c r="D34" s="44"/>
      <c r="E34" s="19"/>
      <c r="F34" s="19"/>
    </row>
    <row r="35" spans="1:6">
      <c r="B35" s="19"/>
      <c r="C35" s="45"/>
      <c r="D35" s="44"/>
      <c r="E35" s="19"/>
      <c r="F35" s="19"/>
    </row>
    <row r="36" spans="1:6">
      <c r="B36" s="19"/>
      <c r="C36" s="45"/>
      <c r="D36" s="44"/>
      <c r="E36" s="19"/>
      <c r="F36" s="19"/>
    </row>
    <row r="37" spans="1:6">
      <c r="B37" s="19"/>
      <c r="C37" s="45"/>
      <c r="D37" s="44"/>
      <c r="E37" s="19"/>
      <c r="F37" s="19"/>
    </row>
    <row r="38" spans="1:6">
      <c r="B38" s="19"/>
      <c r="C38" s="45"/>
      <c r="D38" s="44"/>
      <c r="E38" s="19"/>
      <c r="F38" s="19"/>
    </row>
    <row r="39" spans="1:6">
      <c r="B39" s="19"/>
      <c r="C39" s="45"/>
      <c r="D39" s="44"/>
      <c r="E39" s="19"/>
      <c r="F39" s="1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189"/>
  <sheetViews>
    <sheetView topLeftCell="A91" zoomScale="70" zoomScaleNormal="70" workbookViewId="0">
      <selection activeCell="J149" sqref="J149"/>
    </sheetView>
  </sheetViews>
  <sheetFormatPr defaultColWidth="9.140625" defaultRowHeight="15"/>
  <cols>
    <col min="1" max="1" width="9.140625" style="185"/>
    <col min="2" max="2" width="11.85546875" style="185" customWidth="1"/>
    <col min="3" max="3" width="73" style="185" customWidth="1"/>
    <col min="4" max="4" width="9.140625" style="185"/>
    <col min="5" max="5" width="13.42578125" style="185" bestFit="1" customWidth="1"/>
    <col min="6" max="9" width="9.140625" style="185"/>
    <col min="10" max="10" width="9" style="185" customWidth="1"/>
    <col min="11" max="53" width="9.140625" style="185"/>
    <col min="54" max="54" width="16" style="185" customWidth="1"/>
    <col min="55" max="16384" width="9.140625" style="185"/>
  </cols>
  <sheetData>
    <row r="1" spans="1:58">
      <c r="A1" s="185" t="str">
        <f>IF(TRA,"TS DATA","")</f>
        <v>TS DATA</v>
      </c>
      <c r="B1" s="185" t="s">
        <v>17</v>
      </c>
      <c r="D1" s="185">
        <f>DriversGams!M162</f>
        <v>0</v>
      </c>
      <c r="F1" s="185" t="s">
        <v>16</v>
      </c>
      <c r="H1" s="185" t="s">
        <v>16</v>
      </c>
      <c r="BA1" s="192" t="s">
        <v>223</v>
      </c>
      <c r="BB1" s="192" t="s">
        <v>540</v>
      </c>
      <c r="BC1" s="192" t="s">
        <v>197</v>
      </c>
      <c r="BD1" s="192" t="s">
        <v>544</v>
      </c>
      <c r="BF1" s="192"/>
    </row>
    <row r="2" spans="1:58" ht="15.75" thickBot="1">
      <c r="A2" s="185" t="s">
        <v>16</v>
      </c>
      <c r="B2" s="325" t="s">
        <v>296</v>
      </c>
      <c r="C2" s="325"/>
      <c r="BA2" s="192"/>
      <c r="BB2" s="192"/>
      <c r="BC2" s="192"/>
      <c r="BD2" s="192" t="s">
        <v>153</v>
      </c>
      <c r="BE2" s="192" t="s">
        <v>153</v>
      </c>
      <c r="BF2" s="192" t="s">
        <v>546</v>
      </c>
    </row>
    <row r="3" spans="1:58">
      <c r="A3" s="185" t="s">
        <v>16</v>
      </c>
      <c r="C3" s="192" t="str">
        <f>INDEX($BB$4:$BB$7,MATCH($D$3,$BA$4:$BA$7,0))</f>
        <v>NDC-PAMS-reference</v>
      </c>
      <c r="D3" s="196">
        <f>DriversGams!C163</f>
        <v>-1</v>
      </c>
      <c r="F3" s="185">
        <f>MATCH(F4,Drivers!$C$5:$AG$5,0)</f>
        <v>1</v>
      </c>
      <c r="G3" s="185">
        <f>MATCH(G4,Drivers!$C$5:$AG$5,0)</f>
        <v>4</v>
      </c>
      <c r="H3" s="185">
        <f>MATCH(H4,Drivers!$C$5:$AG$5,0)</f>
        <v>6</v>
      </c>
      <c r="I3" s="283">
        <f>MATCH(I4,Drivers!$C$5:$AG$5,0)</f>
        <v>8</v>
      </c>
      <c r="J3" s="283">
        <f>MATCH(J4,Drivers!$C$5:$AG$5,0)</f>
        <v>9</v>
      </c>
      <c r="K3" s="283">
        <f>MATCH(K4,Drivers!$C$5:$AG$5,0)</f>
        <v>10</v>
      </c>
      <c r="L3" s="185">
        <f>MATCH(L4,Drivers!$C$5:$AG$5,0)</f>
        <v>19</v>
      </c>
      <c r="M3" s="185">
        <f>MATCH(M4,Drivers!$C$5:$AG$5,0)</f>
        <v>29</v>
      </c>
      <c r="N3" s="185">
        <f>MATCH(N4,Drivers!$C$5:$AG$5,0)</f>
        <v>31</v>
      </c>
      <c r="BA3" s="192"/>
      <c r="BB3" s="192"/>
      <c r="BC3" s="192"/>
      <c r="BD3" s="201">
        <v>2030</v>
      </c>
      <c r="BE3" s="201">
        <v>2050</v>
      </c>
      <c r="BF3" s="192"/>
    </row>
    <row r="4" spans="1:58">
      <c r="A4" s="185" t="s">
        <v>16</v>
      </c>
      <c r="B4" s="228"/>
      <c r="C4" s="5" t="s">
        <v>198</v>
      </c>
      <c r="D4" s="195">
        <f>INDEX($BC$4:$BC$7,MATCH($D$3,BA$4:BA$7,0))</f>
        <v>0</v>
      </c>
      <c r="F4" s="185">
        <v>2012</v>
      </c>
      <c r="G4" s="185">
        <v>2015</v>
      </c>
      <c r="H4" s="185">
        <v>2017</v>
      </c>
      <c r="I4" s="188">
        <v>2019</v>
      </c>
      <c r="J4" s="185">
        <v>2020</v>
      </c>
      <c r="K4" s="185">
        <v>2021</v>
      </c>
      <c r="L4" s="185">
        <v>2030</v>
      </c>
      <c r="M4" s="185">
        <v>2040</v>
      </c>
      <c r="N4" s="185">
        <v>2050</v>
      </c>
      <c r="P4" s="7">
        <v>2015</v>
      </c>
      <c r="Q4" s="185">
        <v>2019</v>
      </c>
      <c r="R4" s="7">
        <v>2020</v>
      </c>
      <c r="S4" s="185">
        <v>2021</v>
      </c>
      <c r="T4" s="7">
        <v>2030</v>
      </c>
      <c r="U4" s="7">
        <v>2040</v>
      </c>
      <c r="V4" s="7">
        <v>2050</v>
      </c>
      <c r="X4" s="7">
        <f>P4</f>
        <v>2015</v>
      </c>
      <c r="Y4" s="7">
        <v>2019</v>
      </c>
      <c r="Z4" s="7">
        <f>R4</f>
        <v>2020</v>
      </c>
      <c r="AA4" s="7">
        <f>S4</f>
        <v>2021</v>
      </c>
      <c r="AB4" s="7">
        <f>T4</f>
        <v>2030</v>
      </c>
      <c r="AC4" s="7">
        <f>U4</f>
        <v>2040</v>
      </c>
      <c r="AD4" s="7">
        <f>V4</f>
        <v>2050</v>
      </c>
      <c r="BA4" s="192">
        <v>-1</v>
      </c>
      <c r="BB4" s="192" t="s">
        <v>626</v>
      </c>
      <c r="BC4" s="192">
        <v>0</v>
      </c>
      <c r="BD4" s="258">
        <v>0.95</v>
      </c>
      <c r="BE4" s="258">
        <v>0.95</v>
      </c>
      <c r="BF4" s="201">
        <v>1</v>
      </c>
    </row>
    <row r="5" spans="1:58" ht="15.75" thickBot="1">
      <c r="A5" s="185" t="s">
        <v>16</v>
      </c>
      <c r="B5" s="14" t="s">
        <v>11</v>
      </c>
      <c r="C5" s="14"/>
      <c r="D5" s="14"/>
      <c r="E5" s="14"/>
      <c r="F5" s="14"/>
      <c r="G5" s="14"/>
      <c r="H5" s="14"/>
      <c r="I5" s="14"/>
      <c r="J5" s="14"/>
      <c r="K5" s="14"/>
      <c r="L5" s="14"/>
      <c r="M5" s="14"/>
      <c r="N5" s="14"/>
      <c r="O5" s="14"/>
      <c r="BA5" s="192">
        <v>1</v>
      </c>
      <c r="BB5" s="192" t="s">
        <v>627</v>
      </c>
      <c r="BC5" s="192">
        <v>1</v>
      </c>
      <c r="BD5" s="258">
        <v>0.8</v>
      </c>
      <c r="BE5" s="258">
        <v>0.85</v>
      </c>
      <c r="BF5" s="201">
        <v>1</v>
      </c>
    </row>
    <row r="6" spans="1:58">
      <c r="A6" s="185" t="s">
        <v>16</v>
      </c>
      <c r="B6" s="185" t="s">
        <v>9</v>
      </c>
      <c r="C6" s="185" t="s">
        <v>10</v>
      </c>
      <c r="D6" s="185" t="s">
        <v>403</v>
      </c>
      <c r="I6" s="283"/>
      <c r="J6" s="283"/>
      <c r="K6" s="283"/>
      <c r="L6" s="283"/>
      <c r="BA6" s="192">
        <v>2</v>
      </c>
      <c r="BB6" s="192" t="s">
        <v>618</v>
      </c>
      <c r="BC6" s="192">
        <v>1</v>
      </c>
      <c r="BD6" s="258">
        <v>0.92</v>
      </c>
      <c r="BE6" s="258">
        <v>0.93</v>
      </c>
      <c r="BF6" s="201">
        <v>1</v>
      </c>
    </row>
    <row r="7" spans="1:58">
      <c r="A7" s="185" t="s">
        <v>16</v>
      </c>
      <c r="B7" s="186" t="s">
        <v>597</v>
      </c>
      <c r="C7" s="186" t="s">
        <v>2</v>
      </c>
      <c r="D7" s="185">
        <f>MATCH(B7,Drivers!$A$7:$A$22,0)</f>
        <v>14</v>
      </c>
      <c r="E7" s="186"/>
      <c r="F7" s="24">
        <f>INDEX(Drivers!$C$7:$AG$22,$D7,F$3)</f>
        <v>135.96</v>
      </c>
      <c r="G7" s="24">
        <f>INDEX(Drivers!$C$7:$AG$22,$D7,G$3)</f>
        <v>144.16</v>
      </c>
      <c r="H7" s="24">
        <f>INDEX(Drivers!$C$7:$AG$22,$D7,H$3)</f>
        <v>147.16</v>
      </c>
      <c r="I7" s="24">
        <f>INDEX(Drivers!$C$7:$AG$22,$D7,I$3)</f>
        <v>149.16999999999999</v>
      </c>
      <c r="J7" s="24">
        <f>INDEX(Drivers!$C$7:$AG$22,$D7,J$3)</f>
        <v>138.22</v>
      </c>
      <c r="K7" s="24">
        <f>INDEX(Drivers!$C$7:$AG$22,$D7,K$3)</f>
        <v>141.11000000000001</v>
      </c>
      <c r="L7" s="24">
        <f>INDEX(Drivers!$C$7:$AG$22,$D7,L$3)</f>
        <v>169.63</v>
      </c>
      <c r="M7" s="24">
        <f>INDEX(Drivers!$C$7:$AG$22,$D7,M$3)</f>
        <v>224.36</v>
      </c>
      <c r="N7" s="24">
        <f>INDEX(Drivers!$C$7:$AG$22,$D7,N$3)</f>
        <v>309.06</v>
      </c>
      <c r="O7" s="186"/>
      <c r="P7" s="186">
        <f>G7</f>
        <v>144.16</v>
      </c>
      <c r="Q7" s="186">
        <f t="shared" ref="Q7:V7" si="0">I7</f>
        <v>149.16999999999999</v>
      </c>
      <c r="R7" s="186">
        <f t="shared" si="0"/>
        <v>138.22</v>
      </c>
      <c r="S7" s="24">
        <f t="shared" si="0"/>
        <v>141.11000000000001</v>
      </c>
      <c r="T7" s="186">
        <f t="shared" si="0"/>
        <v>169.63</v>
      </c>
      <c r="U7" s="186">
        <f t="shared" si="0"/>
        <v>224.36</v>
      </c>
      <c r="V7" s="186">
        <f t="shared" si="0"/>
        <v>309.06</v>
      </c>
      <c r="X7" s="186">
        <f t="shared" ref="X7:AD7" si="1">P7</f>
        <v>144.16</v>
      </c>
      <c r="Y7" s="186">
        <f t="shared" si="1"/>
        <v>149.16999999999999</v>
      </c>
      <c r="Z7" s="186">
        <f t="shared" si="1"/>
        <v>138.22</v>
      </c>
      <c r="AA7" s="186">
        <f t="shared" si="1"/>
        <v>141.11000000000001</v>
      </c>
      <c r="AB7" s="186">
        <f t="shared" si="1"/>
        <v>169.63</v>
      </c>
      <c r="AC7" s="186">
        <f t="shared" si="1"/>
        <v>224.36</v>
      </c>
      <c r="AD7" s="186">
        <f t="shared" si="1"/>
        <v>309.06</v>
      </c>
      <c r="BA7" s="192">
        <v>3</v>
      </c>
      <c r="BB7" s="192" t="s">
        <v>628</v>
      </c>
      <c r="BC7" s="192">
        <v>1</v>
      </c>
      <c r="BD7" s="258">
        <v>0.8</v>
      </c>
      <c r="BE7" s="258">
        <v>0.65</v>
      </c>
      <c r="BF7" s="201">
        <v>1</v>
      </c>
    </row>
    <row r="8" spans="1:58">
      <c r="A8" s="185" t="s">
        <v>16</v>
      </c>
      <c r="B8" s="186" t="s">
        <v>387</v>
      </c>
      <c r="C8" s="186" t="s">
        <v>68</v>
      </c>
      <c r="D8" s="185">
        <f>MATCH(B8,Drivers!$A$7:$A$22,0)</f>
        <v>7</v>
      </c>
      <c r="E8" s="186"/>
      <c r="F8" s="24">
        <f>INDEX(Drivers!$C$7:$AG$22,$D8,F$3)</f>
        <v>205.45</v>
      </c>
      <c r="G8" s="24">
        <f>INDEX(Drivers!$C$7:$AG$22,$D8,G$3)</f>
        <v>214.84</v>
      </c>
      <c r="H8" s="24">
        <f>INDEX(Drivers!$C$7:$AG$22,$D8,H$3)</f>
        <v>215.85</v>
      </c>
      <c r="I8" s="24">
        <f>INDEX(Drivers!$C$7:$AG$22,$D8,I$3)</f>
        <v>210.07</v>
      </c>
      <c r="J8" s="24">
        <f>INDEX(Drivers!$C$7:$AG$22,$D8,J$3)</f>
        <v>193.07</v>
      </c>
      <c r="K8" s="24">
        <f>INDEX(Drivers!$C$7:$AG$22,$D8,K$3)</f>
        <v>196.38</v>
      </c>
      <c r="L8" s="24">
        <f>INDEX(Drivers!$C$7:$AG$22,$D8,L$3)</f>
        <v>234.66</v>
      </c>
      <c r="M8" s="24">
        <f>INDEX(Drivers!$C$7:$AG$22,$D8,M$3)</f>
        <v>297.62</v>
      </c>
      <c r="N8" s="24">
        <f>INDEX(Drivers!$C$7:$AG$22,$D8,N$3)</f>
        <v>380</v>
      </c>
      <c r="O8" s="186"/>
      <c r="P8" s="186">
        <f>G8</f>
        <v>214.84</v>
      </c>
      <c r="Q8" s="186">
        <f t="shared" ref="Q8:Q9" si="2">I8</f>
        <v>210.07</v>
      </c>
      <c r="R8" s="186">
        <f>J8</f>
        <v>193.07</v>
      </c>
      <c r="S8" s="24">
        <f t="shared" ref="S8:S9" si="3">K8</f>
        <v>196.38</v>
      </c>
      <c r="T8" s="186">
        <f t="shared" ref="T8:V9" si="4">L8</f>
        <v>234.66</v>
      </c>
      <c r="U8" s="186">
        <f t="shared" si="4"/>
        <v>297.62</v>
      </c>
      <c r="V8" s="186">
        <f t="shared" si="4"/>
        <v>380</v>
      </c>
      <c r="X8" s="186">
        <f>P8</f>
        <v>214.84</v>
      </c>
      <c r="Y8" s="186">
        <f>Q8</f>
        <v>210.07</v>
      </c>
      <c r="Z8" s="186">
        <f t="shared" ref="Z8:Z9" si="5">R8</f>
        <v>193.07</v>
      </c>
      <c r="AA8" s="186">
        <f t="shared" ref="AA8:AA9" si="6">S8</f>
        <v>196.38</v>
      </c>
      <c r="AB8" s="186">
        <f t="shared" ref="AB8:AD9" si="7">T8</f>
        <v>234.66</v>
      </c>
      <c r="AC8" s="186">
        <f t="shared" si="7"/>
        <v>297.62</v>
      </c>
      <c r="AD8" s="186">
        <f t="shared" si="7"/>
        <v>380</v>
      </c>
    </row>
    <row r="9" spans="1:58">
      <c r="A9" s="185" t="s">
        <v>16</v>
      </c>
      <c r="B9" s="186" t="s">
        <v>388</v>
      </c>
      <c r="C9" s="186" t="s">
        <v>69</v>
      </c>
      <c r="D9" s="185">
        <f>MATCH(B9,Drivers!$A$7:$A$22,0)</f>
        <v>6</v>
      </c>
      <c r="E9" s="186"/>
      <c r="F9" s="24">
        <f>INDEX(Drivers!$C$7:$AG$22,$D9,F$3)</f>
        <v>13.35</v>
      </c>
      <c r="G9" s="24">
        <f>INDEX(Drivers!$C$7:$AG$22,$D9,G$3)</f>
        <v>14.13</v>
      </c>
      <c r="H9" s="24">
        <f>INDEX(Drivers!$C$7:$AG$22,$D9,H$3)</f>
        <v>14.18</v>
      </c>
      <c r="I9" s="24">
        <f>INDEX(Drivers!$C$7:$AG$22,$D9,I$3)</f>
        <v>14.08</v>
      </c>
      <c r="J9" s="24">
        <f>INDEX(Drivers!$C$7:$AG$22,$D9,J$3)</f>
        <v>12.26</v>
      </c>
      <c r="K9" s="24">
        <f>INDEX(Drivers!$C$7:$AG$22,$D9,K$3)</f>
        <v>12.65</v>
      </c>
      <c r="L9" s="24">
        <f>INDEX(Drivers!$C$7:$AG$22,$D9,L$3)</f>
        <v>15.88</v>
      </c>
      <c r="M9" s="24">
        <f>INDEX(Drivers!$C$7:$AG$22,$D9,M$3)</f>
        <v>20.14</v>
      </c>
      <c r="N9" s="24">
        <f>INDEX(Drivers!$C$7:$AG$22,$D9,N$3)</f>
        <v>25.89</v>
      </c>
      <c r="O9" s="186"/>
      <c r="P9" s="186">
        <f>G9</f>
        <v>14.13</v>
      </c>
      <c r="Q9" s="186">
        <f t="shared" si="2"/>
        <v>14.08</v>
      </c>
      <c r="R9" s="186">
        <f>J9</f>
        <v>12.26</v>
      </c>
      <c r="S9" s="24">
        <f t="shared" si="3"/>
        <v>12.65</v>
      </c>
      <c r="T9" s="186">
        <f t="shared" si="4"/>
        <v>15.88</v>
      </c>
      <c r="U9" s="186">
        <f t="shared" si="4"/>
        <v>20.14</v>
      </c>
      <c r="V9" s="186">
        <f t="shared" si="4"/>
        <v>25.89</v>
      </c>
      <c r="X9" s="186">
        <f>P9</f>
        <v>14.13</v>
      </c>
      <c r="Y9" s="186">
        <f>Q9</f>
        <v>14.08</v>
      </c>
      <c r="Z9" s="186">
        <f t="shared" si="5"/>
        <v>12.26</v>
      </c>
      <c r="AA9" s="186">
        <f t="shared" si="6"/>
        <v>12.65</v>
      </c>
      <c r="AB9" s="186">
        <f t="shared" si="7"/>
        <v>15.88</v>
      </c>
      <c r="AC9" s="186">
        <f t="shared" si="7"/>
        <v>20.14</v>
      </c>
      <c r="AD9" s="186">
        <f t="shared" si="7"/>
        <v>25.89</v>
      </c>
    </row>
    <row r="10" spans="1:58">
      <c r="A10" s="185" t="s">
        <v>16</v>
      </c>
      <c r="B10" s="186"/>
      <c r="C10" s="186"/>
      <c r="E10" s="186"/>
      <c r="F10" s="186"/>
      <c r="G10" s="186"/>
      <c r="H10" s="186"/>
      <c r="J10" s="186"/>
      <c r="L10" s="186"/>
      <c r="M10" s="186"/>
      <c r="N10" s="186"/>
      <c r="O10" s="186"/>
    </row>
    <row r="11" spans="1:58">
      <c r="A11" s="185" t="s">
        <v>16</v>
      </c>
      <c r="P11" s="5" t="s">
        <v>41</v>
      </c>
      <c r="X11" s="5" t="s">
        <v>197</v>
      </c>
    </row>
    <row r="12" spans="1:58" ht="15.75" thickBot="1">
      <c r="A12" s="185" t="s">
        <v>16</v>
      </c>
      <c r="B12" s="14" t="s">
        <v>444</v>
      </c>
      <c r="C12" s="14"/>
      <c r="D12" s="14"/>
      <c r="F12" s="185">
        <f>F$4</f>
        <v>2012</v>
      </c>
      <c r="G12" s="283">
        <f t="shared" ref="G12:L12" si="8">G$4</f>
        <v>2015</v>
      </c>
      <c r="H12" s="283">
        <f t="shared" si="8"/>
        <v>2017</v>
      </c>
      <c r="I12" s="283">
        <f t="shared" si="8"/>
        <v>2019</v>
      </c>
      <c r="J12" s="283">
        <f t="shared" si="8"/>
        <v>2020</v>
      </c>
      <c r="K12" s="283">
        <f t="shared" si="8"/>
        <v>2021</v>
      </c>
      <c r="L12" s="283">
        <f t="shared" si="8"/>
        <v>2030</v>
      </c>
      <c r="M12" s="185">
        <f>M$4</f>
        <v>2040</v>
      </c>
      <c r="N12" s="185">
        <f>N$4</f>
        <v>2050</v>
      </c>
      <c r="P12" s="7">
        <f t="shared" ref="P12:V12" si="9">P$4</f>
        <v>2015</v>
      </c>
      <c r="Q12" s="7">
        <f t="shared" si="9"/>
        <v>2019</v>
      </c>
      <c r="R12" s="7">
        <f t="shared" si="9"/>
        <v>2020</v>
      </c>
      <c r="S12" s="7">
        <f t="shared" si="9"/>
        <v>2021</v>
      </c>
      <c r="T12" s="7">
        <f t="shared" si="9"/>
        <v>2030</v>
      </c>
      <c r="U12" s="7">
        <f t="shared" si="9"/>
        <v>2040</v>
      </c>
      <c r="V12" s="7">
        <f t="shared" si="9"/>
        <v>2050</v>
      </c>
      <c r="X12" s="7">
        <f t="shared" ref="X12:AD12" si="10">P12</f>
        <v>2015</v>
      </c>
      <c r="Y12" s="7">
        <f t="shared" si="10"/>
        <v>2019</v>
      </c>
      <c r="Z12" s="7">
        <f t="shared" si="10"/>
        <v>2020</v>
      </c>
      <c r="AA12" s="7">
        <f t="shared" si="10"/>
        <v>2021</v>
      </c>
      <c r="AB12" s="7">
        <f t="shared" si="10"/>
        <v>2030</v>
      </c>
      <c r="AC12" s="7">
        <f t="shared" si="10"/>
        <v>2040</v>
      </c>
      <c r="AD12" s="7">
        <f t="shared" si="10"/>
        <v>2050</v>
      </c>
    </row>
    <row r="13" spans="1:58">
      <c r="A13" s="185" t="s">
        <v>16</v>
      </c>
      <c r="B13" s="186" t="str">
        <f>ITEMS_TRA!C15</f>
        <v>TFLCV</v>
      </c>
      <c r="C13" s="186" t="str">
        <f>ITEMS_TRA!D15</f>
        <v>Transport Freight - LCV</v>
      </c>
      <c r="D13" s="186"/>
      <c r="F13" s="61">
        <v>0.8</v>
      </c>
      <c r="G13" s="61">
        <f t="shared" ref="G13:H25" si="11">F13</f>
        <v>0.8</v>
      </c>
      <c r="H13" s="61">
        <f t="shared" si="11"/>
        <v>0.8</v>
      </c>
      <c r="I13" s="61">
        <f t="shared" ref="I13:I25" si="12">H13</f>
        <v>0.8</v>
      </c>
      <c r="J13" s="61">
        <f t="shared" ref="J13:J25" si="13">I13</f>
        <v>0.8</v>
      </c>
      <c r="K13" s="61">
        <f t="shared" ref="K13:K25" si="14">J13</f>
        <v>0.8</v>
      </c>
      <c r="L13" s="61">
        <f t="shared" ref="L13:L25" si="15">IF($D$4,AB13,T13)</f>
        <v>0.8</v>
      </c>
      <c r="M13" s="61">
        <f t="shared" ref="M13:M25" si="16">IF($D$4,AC13,U13)</f>
        <v>0.8</v>
      </c>
      <c r="N13" s="61">
        <f t="shared" ref="N13:N25" si="17">IF($D$4,AD13,V13)</f>
        <v>0.8</v>
      </c>
      <c r="P13" s="61">
        <f t="shared" ref="P13:V25" si="18">$G13</f>
        <v>0.8</v>
      </c>
      <c r="Q13" s="61">
        <f>$I13</f>
        <v>0.8</v>
      </c>
      <c r="R13" s="61">
        <f t="shared" si="18"/>
        <v>0.8</v>
      </c>
      <c r="S13" s="61">
        <f t="shared" si="18"/>
        <v>0.8</v>
      </c>
      <c r="T13" s="61">
        <f t="shared" si="18"/>
        <v>0.8</v>
      </c>
      <c r="U13" s="61">
        <f t="shared" si="18"/>
        <v>0.8</v>
      </c>
      <c r="V13" s="61">
        <f t="shared" si="18"/>
        <v>0.8</v>
      </c>
      <c r="W13" s="229"/>
      <c r="X13" s="61">
        <f t="shared" ref="X13:AD25" si="19">$G13</f>
        <v>0.8</v>
      </c>
      <c r="Y13" s="61">
        <f>$I13</f>
        <v>0.8</v>
      </c>
      <c r="Z13" s="61">
        <f t="shared" si="19"/>
        <v>0.8</v>
      </c>
      <c r="AA13" s="61">
        <f t="shared" si="19"/>
        <v>0.8</v>
      </c>
      <c r="AB13" s="61">
        <f t="shared" si="19"/>
        <v>0.8</v>
      </c>
      <c r="AC13" s="61">
        <f t="shared" si="19"/>
        <v>0.8</v>
      </c>
      <c r="AD13" s="61">
        <f t="shared" si="19"/>
        <v>0.8</v>
      </c>
      <c r="AE13" s="229"/>
      <c r="AF13" s="229"/>
      <c r="AG13" s="229"/>
      <c r="AH13" s="229"/>
      <c r="AI13" s="229"/>
      <c r="AJ13" s="229"/>
      <c r="AK13" s="229"/>
      <c r="AL13" s="229"/>
      <c r="AM13" s="229"/>
      <c r="AN13" s="229"/>
      <c r="AO13" s="229"/>
      <c r="AP13" s="229"/>
      <c r="AQ13" s="229"/>
      <c r="AR13" s="229"/>
      <c r="AS13" s="229"/>
    </row>
    <row r="14" spans="1:58">
      <c r="A14" s="185" t="s">
        <v>16</v>
      </c>
      <c r="B14" s="186" t="str">
        <f>ITEMS_TRA!C16</f>
        <v>TFHCV1</v>
      </c>
      <c r="C14" s="186" t="str">
        <f>ITEMS_TRA!D16</f>
        <v>Transport Freight - HCV1</v>
      </c>
      <c r="D14" s="186"/>
      <c r="F14" s="61">
        <f>F13</f>
        <v>0.8</v>
      </c>
      <c r="G14" s="61">
        <f t="shared" si="11"/>
        <v>0.8</v>
      </c>
      <c r="H14" s="61">
        <f t="shared" si="11"/>
        <v>0.8</v>
      </c>
      <c r="I14" s="61">
        <f t="shared" si="12"/>
        <v>0.8</v>
      </c>
      <c r="J14" s="61">
        <f t="shared" si="13"/>
        <v>0.8</v>
      </c>
      <c r="K14" s="61">
        <f t="shared" si="14"/>
        <v>0.8</v>
      </c>
      <c r="L14" s="61">
        <f t="shared" si="15"/>
        <v>0.8</v>
      </c>
      <c r="M14" s="61">
        <f t="shared" si="16"/>
        <v>0.8</v>
      </c>
      <c r="N14" s="61">
        <f t="shared" si="17"/>
        <v>0.8</v>
      </c>
      <c r="P14" s="61">
        <f>$G14</f>
        <v>0.8</v>
      </c>
      <c r="Q14" s="61">
        <f t="shared" ref="Q14:Q25" si="20">$I14</f>
        <v>0.8</v>
      </c>
      <c r="R14" s="61">
        <f t="shared" si="18"/>
        <v>0.8</v>
      </c>
      <c r="S14" s="61">
        <f t="shared" si="18"/>
        <v>0.8</v>
      </c>
      <c r="T14" s="61">
        <f t="shared" si="18"/>
        <v>0.8</v>
      </c>
      <c r="U14" s="61">
        <f t="shared" si="18"/>
        <v>0.8</v>
      </c>
      <c r="V14" s="61">
        <f t="shared" si="18"/>
        <v>0.8</v>
      </c>
      <c r="W14" s="229"/>
      <c r="X14" s="61">
        <f t="shared" si="19"/>
        <v>0.8</v>
      </c>
      <c r="Y14" s="61">
        <f t="shared" ref="Y14:Y25" si="21">$I14</f>
        <v>0.8</v>
      </c>
      <c r="Z14" s="61">
        <f t="shared" si="19"/>
        <v>0.8</v>
      </c>
      <c r="AA14" s="61">
        <f t="shared" si="19"/>
        <v>0.8</v>
      </c>
      <c r="AB14" s="61">
        <f t="shared" si="19"/>
        <v>0.8</v>
      </c>
      <c r="AC14" s="61">
        <f t="shared" si="19"/>
        <v>0.8</v>
      </c>
      <c r="AD14" s="61">
        <f t="shared" si="19"/>
        <v>0.8</v>
      </c>
      <c r="AE14" s="229"/>
      <c r="AF14" s="229"/>
      <c r="AG14" s="229"/>
      <c r="AH14" s="229"/>
      <c r="AI14" s="229"/>
      <c r="AJ14" s="229"/>
      <c r="AK14" s="229"/>
      <c r="AL14" s="229"/>
      <c r="AM14" s="229"/>
      <c r="AN14" s="229"/>
      <c r="AO14" s="229"/>
      <c r="AP14" s="229"/>
      <c r="AQ14" s="229"/>
      <c r="AR14" s="229"/>
      <c r="AS14" s="229"/>
    </row>
    <row r="15" spans="1:58">
      <c r="A15" s="185" t="s">
        <v>16</v>
      </c>
      <c r="B15" s="186" t="str">
        <f>ITEMS_TRA!C17</f>
        <v>TFHCV2</v>
      </c>
      <c r="C15" s="186" t="str">
        <f>ITEMS_TRA!D17</f>
        <v>Transport Freight - HCV2</v>
      </c>
      <c r="D15" s="186"/>
      <c r="F15" s="61">
        <f t="shared" ref="F15:F25" si="22">F14</f>
        <v>0.8</v>
      </c>
      <c r="G15" s="61">
        <f t="shared" si="11"/>
        <v>0.8</v>
      </c>
      <c r="H15" s="61">
        <f t="shared" si="11"/>
        <v>0.8</v>
      </c>
      <c r="I15" s="61">
        <f t="shared" si="12"/>
        <v>0.8</v>
      </c>
      <c r="J15" s="61">
        <f t="shared" si="13"/>
        <v>0.8</v>
      </c>
      <c r="K15" s="61">
        <f t="shared" si="14"/>
        <v>0.8</v>
      </c>
      <c r="L15" s="61">
        <f t="shared" si="15"/>
        <v>0.8</v>
      </c>
      <c r="M15" s="61">
        <f t="shared" si="16"/>
        <v>0.8</v>
      </c>
      <c r="N15" s="61">
        <f t="shared" si="17"/>
        <v>0.8</v>
      </c>
      <c r="P15" s="61">
        <f t="shared" si="18"/>
        <v>0.8</v>
      </c>
      <c r="Q15" s="61">
        <f t="shared" si="20"/>
        <v>0.8</v>
      </c>
      <c r="R15" s="61">
        <f t="shared" si="18"/>
        <v>0.8</v>
      </c>
      <c r="S15" s="61">
        <f t="shared" si="18"/>
        <v>0.8</v>
      </c>
      <c r="T15" s="61">
        <f t="shared" si="18"/>
        <v>0.8</v>
      </c>
      <c r="U15" s="61">
        <f t="shared" si="18"/>
        <v>0.8</v>
      </c>
      <c r="V15" s="61">
        <f t="shared" si="18"/>
        <v>0.8</v>
      </c>
      <c r="W15" s="229"/>
      <c r="X15" s="61">
        <f t="shared" si="19"/>
        <v>0.8</v>
      </c>
      <c r="Y15" s="61">
        <f t="shared" si="21"/>
        <v>0.8</v>
      </c>
      <c r="Z15" s="61">
        <f t="shared" si="19"/>
        <v>0.8</v>
      </c>
      <c r="AA15" s="61">
        <f t="shared" si="19"/>
        <v>0.8</v>
      </c>
      <c r="AB15" s="61">
        <f t="shared" si="19"/>
        <v>0.8</v>
      </c>
      <c r="AC15" s="61">
        <f t="shared" si="19"/>
        <v>0.8</v>
      </c>
      <c r="AD15" s="61">
        <f t="shared" si="19"/>
        <v>0.8</v>
      </c>
      <c r="AE15" s="229"/>
      <c r="AF15" s="229"/>
      <c r="AG15" s="229"/>
      <c r="AH15" s="229"/>
      <c r="AI15" s="229"/>
      <c r="AJ15" s="229"/>
      <c r="AK15" s="229"/>
      <c r="AL15" s="229"/>
      <c r="AM15" s="229"/>
      <c r="AN15" s="229"/>
      <c r="AO15" s="229"/>
      <c r="AP15" s="229"/>
      <c r="AQ15" s="229"/>
      <c r="AR15" s="229"/>
      <c r="AS15" s="229"/>
    </row>
    <row r="16" spans="1:58">
      <c r="A16" s="185" t="s">
        <v>16</v>
      </c>
      <c r="B16" s="186" t="str">
        <f>ITEMS_TRA!C18</f>
        <v>TFHCV3</v>
      </c>
      <c r="C16" s="186" t="str">
        <f>ITEMS_TRA!D18</f>
        <v>Transport Freight - HCV3</v>
      </c>
      <c r="D16" s="186"/>
      <c r="F16" s="61">
        <f t="shared" si="22"/>
        <v>0.8</v>
      </c>
      <c r="G16" s="61">
        <f t="shared" si="11"/>
        <v>0.8</v>
      </c>
      <c r="H16" s="61">
        <f t="shared" si="11"/>
        <v>0.8</v>
      </c>
      <c r="I16" s="61">
        <f t="shared" si="12"/>
        <v>0.8</v>
      </c>
      <c r="J16" s="61">
        <f t="shared" si="13"/>
        <v>0.8</v>
      </c>
      <c r="K16" s="61">
        <f t="shared" si="14"/>
        <v>0.8</v>
      </c>
      <c r="L16" s="61">
        <f t="shared" si="15"/>
        <v>0.8</v>
      </c>
      <c r="M16" s="61">
        <f t="shared" si="16"/>
        <v>0.8</v>
      </c>
      <c r="N16" s="61">
        <f t="shared" si="17"/>
        <v>0.8</v>
      </c>
      <c r="P16" s="61">
        <f t="shared" si="18"/>
        <v>0.8</v>
      </c>
      <c r="Q16" s="61">
        <f t="shared" si="20"/>
        <v>0.8</v>
      </c>
      <c r="R16" s="61">
        <f t="shared" si="18"/>
        <v>0.8</v>
      </c>
      <c r="S16" s="61">
        <f t="shared" si="18"/>
        <v>0.8</v>
      </c>
      <c r="T16" s="61">
        <f t="shared" si="18"/>
        <v>0.8</v>
      </c>
      <c r="U16" s="61">
        <f t="shared" si="18"/>
        <v>0.8</v>
      </c>
      <c r="V16" s="61">
        <f t="shared" si="18"/>
        <v>0.8</v>
      </c>
      <c r="W16" s="229"/>
      <c r="X16" s="61">
        <f t="shared" si="19"/>
        <v>0.8</v>
      </c>
      <c r="Y16" s="61">
        <f t="shared" si="21"/>
        <v>0.8</v>
      </c>
      <c r="Z16" s="61">
        <f t="shared" si="19"/>
        <v>0.8</v>
      </c>
      <c r="AA16" s="61">
        <f t="shared" si="19"/>
        <v>0.8</v>
      </c>
      <c r="AB16" s="61">
        <f t="shared" si="19"/>
        <v>0.8</v>
      </c>
      <c r="AC16" s="61">
        <f t="shared" si="19"/>
        <v>0.8</v>
      </c>
      <c r="AD16" s="61">
        <f t="shared" si="19"/>
        <v>0.8</v>
      </c>
      <c r="AE16" s="229"/>
      <c r="AF16" s="229"/>
      <c r="AG16" s="229"/>
      <c r="AH16" s="229"/>
      <c r="AI16" s="229"/>
      <c r="AJ16" s="229"/>
      <c r="AK16" s="229"/>
      <c r="AL16" s="229"/>
      <c r="AM16" s="229"/>
      <c r="AN16" s="229"/>
      <c r="AO16" s="229"/>
      <c r="AP16" s="229"/>
      <c r="AQ16" s="229"/>
      <c r="AR16" s="229"/>
      <c r="AS16" s="229"/>
    </row>
    <row r="17" spans="1:45">
      <c r="A17" s="185" t="s">
        <v>16</v>
      </c>
      <c r="B17" s="186" t="str">
        <f>ITEMS_TRA!C19</f>
        <v>TFHCV4</v>
      </c>
      <c r="C17" s="186" t="str">
        <f>ITEMS_TRA!D19</f>
        <v>Transport Freight - HCV4</v>
      </c>
      <c r="D17" s="186"/>
      <c r="F17" s="61">
        <f t="shared" si="22"/>
        <v>0.8</v>
      </c>
      <c r="G17" s="61">
        <f t="shared" si="11"/>
        <v>0.8</v>
      </c>
      <c r="H17" s="61">
        <f t="shared" si="11"/>
        <v>0.8</v>
      </c>
      <c r="I17" s="61">
        <f t="shared" si="12"/>
        <v>0.8</v>
      </c>
      <c r="J17" s="61">
        <f t="shared" si="13"/>
        <v>0.8</v>
      </c>
      <c r="K17" s="61">
        <f t="shared" si="14"/>
        <v>0.8</v>
      </c>
      <c r="L17" s="61">
        <f t="shared" si="15"/>
        <v>0.8</v>
      </c>
      <c r="M17" s="61">
        <f t="shared" si="16"/>
        <v>0.8</v>
      </c>
      <c r="N17" s="61">
        <f t="shared" si="17"/>
        <v>0.8</v>
      </c>
      <c r="P17" s="61">
        <f t="shared" si="18"/>
        <v>0.8</v>
      </c>
      <c r="Q17" s="61">
        <f t="shared" si="20"/>
        <v>0.8</v>
      </c>
      <c r="R17" s="61">
        <f t="shared" si="18"/>
        <v>0.8</v>
      </c>
      <c r="S17" s="61">
        <f t="shared" si="18"/>
        <v>0.8</v>
      </c>
      <c r="T17" s="61">
        <f t="shared" si="18"/>
        <v>0.8</v>
      </c>
      <c r="U17" s="61">
        <f t="shared" si="18"/>
        <v>0.8</v>
      </c>
      <c r="V17" s="61">
        <f t="shared" si="18"/>
        <v>0.8</v>
      </c>
      <c r="W17" s="229"/>
      <c r="X17" s="61">
        <f t="shared" si="19"/>
        <v>0.8</v>
      </c>
      <c r="Y17" s="61">
        <f t="shared" si="21"/>
        <v>0.8</v>
      </c>
      <c r="Z17" s="61">
        <f t="shared" si="19"/>
        <v>0.8</v>
      </c>
      <c r="AA17" s="61">
        <f t="shared" si="19"/>
        <v>0.8</v>
      </c>
      <c r="AB17" s="61">
        <f t="shared" si="19"/>
        <v>0.8</v>
      </c>
      <c r="AC17" s="61">
        <f t="shared" si="19"/>
        <v>0.8</v>
      </c>
      <c r="AD17" s="61">
        <f t="shared" si="19"/>
        <v>0.8</v>
      </c>
      <c r="AE17" s="229"/>
      <c r="AF17" s="229"/>
      <c r="AG17" s="229"/>
      <c r="AH17" s="229"/>
      <c r="AI17" s="229"/>
      <c r="AJ17" s="229"/>
      <c r="AK17" s="229"/>
      <c r="AL17" s="229"/>
      <c r="AM17" s="229"/>
      <c r="AN17" s="229"/>
      <c r="AO17" s="229"/>
      <c r="AP17" s="229"/>
      <c r="AQ17" s="229"/>
      <c r="AR17" s="229"/>
      <c r="AS17" s="229"/>
    </row>
    <row r="18" spans="1:45">
      <c r="A18" s="185" t="s">
        <v>16</v>
      </c>
      <c r="B18" s="186" t="str">
        <f>ITEMS_TRA!C20</f>
        <v>TFHCV5</v>
      </c>
      <c r="C18" s="186" t="str">
        <f>ITEMS_TRA!D20</f>
        <v>Transport Freight - HCV5</v>
      </c>
      <c r="D18" s="186"/>
      <c r="F18" s="61">
        <f t="shared" si="22"/>
        <v>0.8</v>
      </c>
      <c r="G18" s="61">
        <f t="shared" si="11"/>
        <v>0.8</v>
      </c>
      <c r="H18" s="61">
        <f t="shared" si="11"/>
        <v>0.8</v>
      </c>
      <c r="I18" s="61">
        <f t="shared" si="12"/>
        <v>0.8</v>
      </c>
      <c r="J18" s="61">
        <f t="shared" si="13"/>
        <v>0.8</v>
      </c>
      <c r="K18" s="61">
        <f t="shared" si="14"/>
        <v>0.8</v>
      </c>
      <c r="L18" s="61">
        <f t="shared" si="15"/>
        <v>0.8</v>
      </c>
      <c r="M18" s="61">
        <f t="shared" si="16"/>
        <v>0.8</v>
      </c>
      <c r="N18" s="61">
        <f t="shared" si="17"/>
        <v>0.8</v>
      </c>
      <c r="P18" s="61">
        <f t="shared" si="18"/>
        <v>0.8</v>
      </c>
      <c r="Q18" s="61">
        <f t="shared" si="20"/>
        <v>0.8</v>
      </c>
      <c r="R18" s="61">
        <f t="shared" si="18"/>
        <v>0.8</v>
      </c>
      <c r="S18" s="61">
        <f t="shared" si="18"/>
        <v>0.8</v>
      </c>
      <c r="T18" s="61">
        <f t="shared" si="18"/>
        <v>0.8</v>
      </c>
      <c r="U18" s="61">
        <f t="shared" si="18"/>
        <v>0.8</v>
      </c>
      <c r="V18" s="61">
        <f t="shared" si="18"/>
        <v>0.8</v>
      </c>
      <c r="W18" s="229"/>
      <c r="X18" s="61">
        <f t="shared" si="19"/>
        <v>0.8</v>
      </c>
      <c r="Y18" s="61">
        <f t="shared" si="21"/>
        <v>0.8</v>
      </c>
      <c r="Z18" s="61">
        <f t="shared" si="19"/>
        <v>0.8</v>
      </c>
      <c r="AA18" s="61">
        <f t="shared" si="19"/>
        <v>0.8</v>
      </c>
      <c r="AB18" s="61">
        <f t="shared" si="19"/>
        <v>0.8</v>
      </c>
      <c r="AC18" s="61">
        <f t="shared" si="19"/>
        <v>0.8</v>
      </c>
      <c r="AD18" s="61">
        <f t="shared" si="19"/>
        <v>0.8</v>
      </c>
      <c r="AE18" s="229"/>
      <c r="AF18" s="229"/>
      <c r="AG18" s="229"/>
      <c r="AH18" s="229"/>
      <c r="AI18" s="229"/>
      <c r="AJ18" s="229"/>
      <c r="AK18" s="229"/>
      <c r="AL18" s="229"/>
      <c r="AM18" s="229"/>
      <c r="AN18" s="229"/>
      <c r="AO18" s="229"/>
      <c r="AP18" s="229"/>
      <c r="AQ18" s="229"/>
      <c r="AR18" s="229"/>
      <c r="AS18" s="229"/>
    </row>
    <row r="19" spans="1:45">
      <c r="A19" s="185" t="s">
        <v>16</v>
      </c>
      <c r="B19" s="186" t="str">
        <f>ITEMS_TRA!C21</f>
        <v>TFHCV6</v>
      </c>
      <c r="C19" s="186" t="str">
        <f>ITEMS_TRA!D21</f>
        <v>Transport Freight - HCV6</v>
      </c>
      <c r="D19" s="186"/>
      <c r="F19" s="61">
        <f t="shared" si="22"/>
        <v>0.8</v>
      </c>
      <c r="G19" s="61">
        <f t="shared" si="11"/>
        <v>0.8</v>
      </c>
      <c r="H19" s="61">
        <f t="shared" si="11"/>
        <v>0.8</v>
      </c>
      <c r="I19" s="61">
        <f t="shared" si="12"/>
        <v>0.8</v>
      </c>
      <c r="J19" s="61">
        <f t="shared" si="13"/>
        <v>0.8</v>
      </c>
      <c r="K19" s="61">
        <f t="shared" si="14"/>
        <v>0.8</v>
      </c>
      <c r="L19" s="61">
        <f t="shared" si="15"/>
        <v>0.8</v>
      </c>
      <c r="M19" s="61">
        <f t="shared" si="16"/>
        <v>0.8</v>
      </c>
      <c r="N19" s="61">
        <f t="shared" si="17"/>
        <v>0.8</v>
      </c>
      <c r="P19" s="61">
        <f t="shared" si="18"/>
        <v>0.8</v>
      </c>
      <c r="Q19" s="61">
        <f t="shared" si="20"/>
        <v>0.8</v>
      </c>
      <c r="R19" s="61">
        <f t="shared" si="18"/>
        <v>0.8</v>
      </c>
      <c r="S19" s="61">
        <f t="shared" si="18"/>
        <v>0.8</v>
      </c>
      <c r="T19" s="61">
        <f t="shared" si="18"/>
        <v>0.8</v>
      </c>
      <c r="U19" s="61">
        <f t="shared" si="18"/>
        <v>0.8</v>
      </c>
      <c r="V19" s="61">
        <f t="shared" si="18"/>
        <v>0.8</v>
      </c>
      <c r="W19" s="229"/>
      <c r="X19" s="61">
        <f t="shared" si="19"/>
        <v>0.8</v>
      </c>
      <c r="Y19" s="61">
        <f t="shared" si="21"/>
        <v>0.8</v>
      </c>
      <c r="Z19" s="61">
        <f t="shared" si="19"/>
        <v>0.8</v>
      </c>
      <c r="AA19" s="61">
        <f t="shared" si="19"/>
        <v>0.8</v>
      </c>
      <c r="AB19" s="61">
        <f t="shared" si="19"/>
        <v>0.8</v>
      </c>
      <c r="AC19" s="61">
        <f t="shared" si="19"/>
        <v>0.8</v>
      </c>
      <c r="AD19" s="61">
        <f t="shared" si="19"/>
        <v>0.8</v>
      </c>
      <c r="AE19" s="229"/>
      <c r="AF19" s="229"/>
      <c r="AG19" s="229"/>
      <c r="AH19" s="229"/>
      <c r="AI19" s="229"/>
      <c r="AJ19" s="229"/>
      <c r="AK19" s="229"/>
      <c r="AL19" s="229"/>
      <c r="AM19" s="229"/>
      <c r="AN19" s="229"/>
      <c r="AO19" s="229"/>
      <c r="AP19" s="229"/>
      <c r="AQ19" s="229"/>
      <c r="AR19" s="229"/>
      <c r="AS19" s="229"/>
    </row>
    <row r="20" spans="1:45">
      <c r="A20" s="185" t="s">
        <v>16</v>
      </c>
      <c r="B20" s="186" t="str">
        <f>ITEMS_TRA!C22</f>
        <v>TFHCV7</v>
      </c>
      <c r="C20" s="186" t="str">
        <f>ITEMS_TRA!D22</f>
        <v>Transport Freight - HCV7</v>
      </c>
      <c r="D20" s="186"/>
      <c r="F20" s="61">
        <f t="shared" si="22"/>
        <v>0.8</v>
      </c>
      <c r="G20" s="61">
        <f t="shared" si="11"/>
        <v>0.8</v>
      </c>
      <c r="H20" s="61">
        <f t="shared" si="11"/>
        <v>0.8</v>
      </c>
      <c r="I20" s="61">
        <f t="shared" si="12"/>
        <v>0.8</v>
      </c>
      <c r="J20" s="61">
        <f t="shared" si="13"/>
        <v>0.8</v>
      </c>
      <c r="K20" s="61">
        <f t="shared" si="14"/>
        <v>0.8</v>
      </c>
      <c r="L20" s="61">
        <f t="shared" si="15"/>
        <v>0.8</v>
      </c>
      <c r="M20" s="61">
        <f t="shared" si="16"/>
        <v>0.8</v>
      </c>
      <c r="N20" s="61">
        <f t="shared" si="17"/>
        <v>0.8</v>
      </c>
      <c r="P20" s="61">
        <f t="shared" si="18"/>
        <v>0.8</v>
      </c>
      <c r="Q20" s="61">
        <f t="shared" si="20"/>
        <v>0.8</v>
      </c>
      <c r="R20" s="61">
        <f t="shared" si="18"/>
        <v>0.8</v>
      </c>
      <c r="S20" s="61">
        <f>$G20</f>
        <v>0.8</v>
      </c>
      <c r="T20" s="61">
        <f t="shared" si="18"/>
        <v>0.8</v>
      </c>
      <c r="U20" s="61">
        <f t="shared" si="18"/>
        <v>0.8</v>
      </c>
      <c r="V20" s="61">
        <f t="shared" si="18"/>
        <v>0.8</v>
      </c>
      <c r="W20" s="229"/>
      <c r="X20" s="61">
        <f t="shared" si="19"/>
        <v>0.8</v>
      </c>
      <c r="Y20" s="61">
        <f t="shared" si="21"/>
        <v>0.8</v>
      </c>
      <c r="Z20" s="61">
        <f t="shared" si="19"/>
        <v>0.8</v>
      </c>
      <c r="AA20" s="61">
        <f t="shared" si="19"/>
        <v>0.8</v>
      </c>
      <c r="AB20" s="61">
        <f t="shared" si="19"/>
        <v>0.8</v>
      </c>
      <c r="AC20" s="61">
        <f t="shared" si="19"/>
        <v>0.8</v>
      </c>
      <c r="AD20" s="61">
        <f t="shared" si="19"/>
        <v>0.8</v>
      </c>
      <c r="AE20" s="229"/>
      <c r="AF20" s="229"/>
      <c r="AG20" s="229"/>
      <c r="AH20" s="229"/>
      <c r="AI20" s="229"/>
      <c r="AJ20" s="229"/>
      <c r="AK20" s="229"/>
      <c r="AL20" s="229"/>
      <c r="AM20" s="229"/>
      <c r="AN20" s="229"/>
      <c r="AO20" s="229"/>
      <c r="AP20" s="229"/>
      <c r="AQ20" s="229"/>
      <c r="AR20" s="229"/>
      <c r="AS20" s="229"/>
    </row>
    <row r="21" spans="1:45">
      <c r="A21" s="185" t="s">
        <v>16</v>
      </c>
      <c r="B21" s="186" t="str">
        <f>ITEMS_TRA!C23</f>
        <v>TFHCV8</v>
      </c>
      <c r="C21" s="186" t="str">
        <f>ITEMS_TRA!D23</f>
        <v>Transport Freight - HCV8</v>
      </c>
      <c r="D21" s="186"/>
      <c r="F21" s="61">
        <f t="shared" si="22"/>
        <v>0.8</v>
      </c>
      <c r="G21" s="61">
        <f t="shared" si="11"/>
        <v>0.8</v>
      </c>
      <c r="H21" s="61">
        <f t="shared" si="11"/>
        <v>0.8</v>
      </c>
      <c r="I21" s="61">
        <f t="shared" si="12"/>
        <v>0.8</v>
      </c>
      <c r="J21" s="61">
        <f t="shared" si="13"/>
        <v>0.8</v>
      </c>
      <c r="K21" s="61">
        <f t="shared" si="14"/>
        <v>0.8</v>
      </c>
      <c r="L21" s="61">
        <f t="shared" si="15"/>
        <v>0.8</v>
      </c>
      <c r="M21" s="61">
        <f t="shared" si="16"/>
        <v>0.8</v>
      </c>
      <c r="N21" s="61">
        <f t="shared" si="17"/>
        <v>0.8</v>
      </c>
      <c r="P21" s="61">
        <f t="shared" si="18"/>
        <v>0.8</v>
      </c>
      <c r="Q21" s="61">
        <f t="shared" si="20"/>
        <v>0.8</v>
      </c>
      <c r="R21" s="61">
        <f t="shared" si="18"/>
        <v>0.8</v>
      </c>
      <c r="S21" s="61">
        <f t="shared" si="18"/>
        <v>0.8</v>
      </c>
      <c r="T21" s="61">
        <f t="shared" si="18"/>
        <v>0.8</v>
      </c>
      <c r="U21" s="61">
        <f t="shared" si="18"/>
        <v>0.8</v>
      </c>
      <c r="V21" s="61">
        <f t="shared" si="18"/>
        <v>0.8</v>
      </c>
      <c r="W21" s="229"/>
      <c r="X21" s="61">
        <f t="shared" si="19"/>
        <v>0.8</v>
      </c>
      <c r="Y21" s="61">
        <f t="shared" si="21"/>
        <v>0.8</v>
      </c>
      <c r="Z21" s="61">
        <f t="shared" si="19"/>
        <v>0.8</v>
      </c>
      <c r="AA21" s="61">
        <f t="shared" si="19"/>
        <v>0.8</v>
      </c>
      <c r="AB21" s="61">
        <f t="shared" si="19"/>
        <v>0.8</v>
      </c>
      <c r="AC21" s="61">
        <f t="shared" si="19"/>
        <v>0.8</v>
      </c>
      <c r="AD21" s="61">
        <f t="shared" si="19"/>
        <v>0.8</v>
      </c>
      <c r="AE21" s="229"/>
      <c r="AF21" s="229"/>
      <c r="AG21" s="229"/>
      <c r="AH21" s="229"/>
      <c r="AI21" s="229"/>
      <c r="AJ21" s="229"/>
      <c r="AK21" s="229"/>
      <c r="AL21" s="229"/>
      <c r="AM21" s="229"/>
      <c r="AN21" s="229"/>
      <c r="AO21" s="229"/>
      <c r="AP21" s="229"/>
      <c r="AQ21" s="229"/>
      <c r="AR21" s="229"/>
      <c r="AS21" s="229"/>
    </row>
    <row r="22" spans="1:45">
      <c r="A22" s="185" t="s">
        <v>16</v>
      </c>
      <c r="B22" s="186" t="str">
        <f>ITEMS_TRA!C24</f>
        <v>TFHCV9</v>
      </c>
      <c r="C22" s="186" t="str">
        <f>ITEMS_TRA!D24</f>
        <v>Transport Freight - HCV9</v>
      </c>
      <c r="D22" s="186"/>
      <c r="F22" s="61">
        <f t="shared" si="22"/>
        <v>0.8</v>
      </c>
      <c r="G22" s="61">
        <f t="shared" si="11"/>
        <v>0.8</v>
      </c>
      <c r="H22" s="61">
        <f t="shared" si="11"/>
        <v>0.8</v>
      </c>
      <c r="I22" s="61">
        <f t="shared" si="12"/>
        <v>0.8</v>
      </c>
      <c r="J22" s="61">
        <f t="shared" si="13"/>
        <v>0.8</v>
      </c>
      <c r="K22" s="61">
        <f t="shared" si="14"/>
        <v>0.8</v>
      </c>
      <c r="L22" s="61">
        <f t="shared" si="15"/>
        <v>0.8</v>
      </c>
      <c r="M22" s="61">
        <f t="shared" si="16"/>
        <v>0.8</v>
      </c>
      <c r="N22" s="61">
        <f t="shared" si="17"/>
        <v>0.8</v>
      </c>
      <c r="P22" s="61">
        <f t="shared" si="18"/>
        <v>0.8</v>
      </c>
      <c r="Q22" s="61">
        <f t="shared" si="20"/>
        <v>0.8</v>
      </c>
      <c r="R22" s="61">
        <f t="shared" ref="R22:T25" si="23">P22</f>
        <v>0.8</v>
      </c>
      <c r="S22" s="61">
        <f t="shared" si="23"/>
        <v>0.8</v>
      </c>
      <c r="T22" s="61">
        <f t="shared" si="23"/>
        <v>0.8</v>
      </c>
      <c r="U22" s="61">
        <f>T22</f>
        <v>0.8</v>
      </c>
      <c r="V22" s="61">
        <f t="shared" si="18"/>
        <v>0.8</v>
      </c>
      <c r="W22" s="229"/>
      <c r="X22" s="61">
        <f t="shared" si="19"/>
        <v>0.8</v>
      </c>
      <c r="Y22" s="61">
        <f t="shared" si="21"/>
        <v>0.8</v>
      </c>
      <c r="Z22" s="61">
        <f t="shared" ref="Z22:AB25" si="24">X22</f>
        <v>0.8</v>
      </c>
      <c r="AA22" s="61">
        <f t="shared" si="24"/>
        <v>0.8</v>
      </c>
      <c r="AB22" s="61">
        <f t="shared" si="24"/>
        <v>0.8</v>
      </c>
      <c r="AC22" s="61">
        <f>AB22</f>
        <v>0.8</v>
      </c>
      <c r="AD22" s="61">
        <f t="shared" si="19"/>
        <v>0.8</v>
      </c>
      <c r="AE22" s="229"/>
      <c r="AF22" s="229"/>
      <c r="AG22" s="229"/>
      <c r="AH22" s="229"/>
      <c r="AI22" s="229"/>
      <c r="AJ22" s="229"/>
      <c r="AK22" s="229"/>
      <c r="AL22" s="229"/>
      <c r="AM22" s="229"/>
      <c r="AN22" s="229"/>
      <c r="AO22" s="229"/>
      <c r="AP22" s="229"/>
      <c r="AQ22" s="229"/>
      <c r="AR22" s="229"/>
      <c r="AS22" s="229"/>
    </row>
    <row r="23" spans="1:45">
      <c r="A23" s="185" t="s">
        <v>16</v>
      </c>
      <c r="B23" s="186" t="str">
        <f>ITEMS_TRA!C25</f>
        <v>TFRCO</v>
      </c>
      <c r="C23" s="186" t="str">
        <f>ITEMS_TRA!D25</f>
        <v>Transport Freight - Rail Corridor</v>
      </c>
      <c r="D23" s="186"/>
      <c r="F23" s="61">
        <f t="shared" si="22"/>
        <v>0.8</v>
      </c>
      <c r="G23" s="61">
        <f t="shared" si="11"/>
        <v>0.8</v>
      </c>
      <c r="H23" s="61">
        <f t="shared" si="11"/>
        <v>0.8</v>
      </c>
      <c r="I23" s="61">
        <f t="shared" si="12"/>
        <v>0.8</v>
      </c>
      <c r="J23" s="61">
        <f t="shared" si="13"/>
        <v>0.8</v>
      </c>
      <c r="K23" s="61">
        <f t="shared" si="14"/>
        <v>0.8</v>
      </c>
      <c r="L23" s="61">
        <f t="shared" si="15"/>
        <v>0.8</v>
      </c>
      <c r="M23" s="61">
        <f t="shared" si="16"/>
        <v>0.8</v>
      </c>
      <c r="N23" s="61">
        <f t="shared" si="17"/>
        <v>0.8</v>
      </c>
      <c r="P23" s="61">
        <f t="shared" si="18"/>
        <v>0.8</v>
      </c>
      <c r="Q23" s="61">
        <f t="shared" si="20"/>
        <v>0.8</v>
      </c>
      <c r="R23" s="61">
        <f t="shared" si="23"/>
        <v>0.8</v>
      </c>
      <c r="S23" s="61">
        <f t="shared" si="23"/>
        <v>0.8</v>
      </c>
      <c r="T23" s="61">
        <f t="shared" si="23"/>
        <v>0.8</v>
      </c>
      <c r="U23" s="61">
        <f>T23</f>
        <v>0.8</v>
      </c>
      <c r="V23" s="61">
        <f t="shared" si="18"/>
        <v>0.8</v>
      </c>
      <c r="W23" s="229"/>
      <c r="X23" s="61">
        <f t="shared" si="19"/>
        <v>0.8</v>
      </c>
      <c r="Y23" s="61">
        <f t="shared" si="21"/>
        <v>0.8</v>
      </c>
      <c r="Z23" s="61">
        <f t="shared" si="24"/>
        <v>0.8</v>
      </c>
      <c r="AA23" s="61">
        <f t="shared" si="24"/>
        <v>0.8</v>
      </c>
      <c r="AB23" s="61">
        <f t="shared" si="24"/>
        <v>0.8</v>
      </c>
      <c r="AC23" s="61">
        <f>AB23</f>
        <v>0.8</v>
      </c>
      <c r="AD23" s="61">
        <f t="shared" si="19"/>
        <v>0.8</v>
      </c>
      <c r="AE23" s="229"/>
      <c r="AF23" s="229"/>
      <c r="AG23" s="229"/>
      <c r="AH23" s="229"/>
      <c r="AI23" s="229"/>
      <c r="AJ23" s="229"/>
      <c r="AK23" s="229"/>
      <c r="AL23" s="229"/>
      <c r="AM23" s="229"/>
      <c r="AN23" s="229"/>
      <c r="AO23" s="229"/>
      <c r="AP23" s="229"/>
      <c r="AQ23" s="229"/>
      <c r="AR23" s="229"/>
      <c r="AS23" s="229"/>
    </row>
    <row r="24" spans="1:45">
      <c r="A24" s="185" t="s">
        <v>16</v>
      </c>
      <c r="B24" s="186" t="str">
        <f>ITEMS_TRA!C26</f>
        <v>TFROT</v>
      </c>
      <c r="C24" s="186" t="str">
        <f>ITEMS_TRA!D26</f>
        <v>Transport Freight - Rail Other</v>
      </c>
      <c r="F24" s="61">
        <f t="shared" si="22"/>
        <v>0.8</v>
      </c>
      <c r="G24" s="61">
        <f t="shared" si="11"/>
        <v>0.8</v>
      </c>
      <c r="H24" s="61">
        <f t="shared" si="11"/>
        <v>0.8</v>
      </c>
      <c r="I24" s="61">
        <f t="shared" si="12"/>
        <v>0.8</v>
      </c>
      <c r="J24" s="61">
        <f t="shared" si="13"/>
        <v>0.8</v>
      </c>
      <c r="K24" s="61">
        <f t="shared" si="14"/>
        <v>0.8</v>
      </c>
      <c r="L24" s="61">
        <f t="shared" si="15"/>
        <v>0.8</v>
      </c>
      <c r="M24" s="61">
        <f t="shared" si="16"/>
        <v>0.8</v>
      </c>
      <c r="N24" s="61">
        <f t="shared" si="17"/>
        <v>0.8</v>
      </c>
      <c r="P24" s="61">
        <f t="shared" si="18"/>
        <v>0.8</v>
      </c>
      <c r="Q24" s="61">
        <f t="shared" si="20"/>
        <v>0.8</v>
      </c>
      <c r="R24" s="61">
        <f t="shared" si="23"/>
        <v>0.8</v>
      </c>
      <c r="S24" s="61">
        <f t="shared" si="23"/>
        <v>0.8</v>
      </c>
      <c r="T24" s="61">
        <f t="shared" si="23"/>
        <v>0.8</v>
      </c>
      <c r="U24" s="61">
        <f>T24</f>
        <v>0.8</v>
      </c>
      <c r="V24" s="61">
        <f t="shared" si="18"/>
        <v>0.8</v>
      </c>
      <c r="W24" s="229"/>
      <c r="X24" s="61">
        <f t="shared" si="19"/>
        <v>0.8</v>
      </c>
      <c r="Y24" s="61">
        <f t="shared" si="21"/>
        <v>0.8</v>
      </c>
      <c r="Z24" s="61">
        <f t="shared" si="24"/>
        <v>0.8</v>
      </c>
      <c r="AA24" s="61">
        <f t="shared" si="24"/>
        <v>0.8</v>
      </c>
      <c r="AB24" s="61">
        <f t="shared" si="24"/>
        <v>0.8</v>
      </c>
      <c r="AC24" s="61">
        <f>AB24</f>
        <v>0.8</v>
      </c>
      <c r="AD24" s="61">
        <f t="shared" si="19"/>
        <v>0.8</v>
      </c>
      <c r="AE24" s="229"/>
      <c r="AF24" s="229"/>
      <c r="AG24" s="229"/>
      <c r="AH24" s="229"/>
      <c r="AI24" s="229"/>
      <c r="AJ24" s="229"/>
      <c r="AK24" s="229"/>
      <c r="AL24" s="229"/>
      <c r="AM24" s="229"/>
      <c r="AN24" s="229"/>
      <c r="AO24" s="229"/>
      <c r="AP24" s="229"/>
      <c r="AQ24" s="229"/>
      <c r="AR24" s="229"/>
      <c r="AS24" s="229"/>
    </row>
    <row r="25" spans="1:45">
      <c r="A25" s="185" t="s">
        <v>16</v>
      </c>
      <c r="B25" s="186" t="str">
        <f>ITEMS_TRA!C27</f>
        <v>TFREX</v>
      </c>
      <c r="C25" s="186" t="str">
        <f>ITEMS_TRA!D27</f>
        <v>Transport Freight - Rail Export (bulk mining)</v>
      </c>
      <c r="F25" s="61">
        <f t="shared" si="22"/>
        <v>0.8</v>
      </c>
      <c r="G25" s="61">
        <f t="shared" si="11"/>
        <v>0.8</v>
      </c>
      <c r="H25" s="61">
        <f t="shared" si="11"/>
        <v>0.8</v>
      </c>
      <c r="I25" s="61">
        <f t="shared" si="12"/>
        <v>0.8</v>
      </c>
      <c r="J25" s="61">
        <f t="shared" si="13"/>
        <v>0.8</v>
      </c>
      <c r="K25" s="61">
        <f t="shared" si="14"/>
        <v>0.8</v>
      </c>
      <c r="L25" s="61">
        <f t="shared" si="15"/>
        <v>0.8</v>
      </c>
      <c r="M25" s="61">
        <f t="shared" si="16"/>
        <v>0.8</v>
      </c>
      <c r="N25" s="61">
        <f t="shared" si="17"/>
        <v>0.8</v>
      </c>
      <c r="P25" s="61">
        <f t="shared" si="18"/>
        <v>0.8</v>
      </c>
      <c r="Q25" s="61">
        <f t="shared" si="20"/>
        <v>0.8</v>
      </c>
      <c r="R25" s="61">
        <f t="shared" si="23"/>
        <v>0.8</v>
      </c>
      <c r="S25" s="61">
        <f t="shared" si="23"/>
        <v>0.8</v>
      </c>
      <c r="T25" s="61">
        <f t="shared" si="23"/>
        <v>0.8</v>
      </c>
      <c r="U25" s="61">
        <f>T25</f>
        <v>0.8</v>
      </c>
      <c r="V25" s="61">
        <f t="shared" si="18"/>
        <v>0.8</v>
      </c>
      <c r="W25" s="229"/>
      <c r="X25" s="61">
        <f t="shared" si="19"/>
        <v>0.8</v>
      </c>
      <c r="Y25" s="61">
        <f t="shared" si="21"/>
        <v>0.8</v>
      </c>
      <c r="Z25" s="61">
        <f t="shared" si="24"/>
        <v>0.8</v>
      </c>
      <c r="AA25" s="61">
        <f t="shared" si="24"/>
        <v>0.8</v>
      </c>
      <c r="AB25" s="61">
        <f t="shared" si="24"/>
        <v>0.8</v>
      </c>
      <c r="AC25" s="61">
        <f>AB25</f>
        <v>0.8</v>
      </c>
      <c r="AD25" s="61">
        <f t="shared" si="19"/>
        <v>0.8</v>
      </c>
      <c r="AE25" s="229"/>
      <c r="AF25" s="229"/>
      <c r="AG25" s="229"/>
      <c r="AH25" s="229"/>
      <c r="AI25" s="229"/>
      <c r="AJ25" s="229"/>
      <c r="AK25" s="229"/>
      <c r="AL25" s="229"/>
      <c r="AM25" s="229"/>
      <c r="AN25" s="229"/>
      <c r="AO25" s="229"/>
      <c r="AP25" s="229"/>
      <c r="AQ25" s="229"/>
      <c r="AR25" s="229"/>
      <c r="AS25" s="229"/>
    </row>
    <row r="26" spans="1:45" ht="15.75" thickBot="1">
      <c r="A26" s="185" t="s">
        <v>16</v>
      </c>
      <c r="B26" s="186"/>
      <c r="C26" s="186"/>
      <c r="P26" s="186"/>
      <c r="R26" s="186"/>
      <c r="T26" s="186"/>
      <c r="U26" s="186"/>
      <c r="V26" s="186"/>
      <c r="W26" s="186"/>
      <c r="X26" s="186"/>
      <c r="Y26" s="186"/>
      <c r="Z26" s="186"/>
      <c r="AB26" s="257">
        <v>2030</v>
      </c>
      <c r="AC26" s="257">
        <v>2050</v>
      </c>
      <c r="AD26" s="186"/>
      <c r="AE26" s="186"/>
      <c r="AF26" s="186"/>
      <c r="AG26" s="186"/>
      <c r="AH26" s="186"/>
      <c r="AI26" s="186"/>
      <c r="AJ26" s="186"/>
      <c r="AK26" s="186"/>
      <c r="AL26" s="186"/>
      <c r="AM26" s="186"/>
      <c r="AN26" s="186"/>
      <c r="AO26" s="186"/>
      <c r="AP26" s="186"/>
      <c r="AQ26" s="186"/>
      <c r="AR26" s="186"/>
      <c r="AS26" s="186"/>
    </row>
    <row r="27" spans="1:45" ht="15.75" thickBot="1">
      <c r="A27" s="185" t="s">
        <v>16</v>
      </c>
      <c r="B27" s="14" t="s">
        <v>153</v>
      </c>
      <c r="C27" s="14"/>
      <c r="AB27" s="182">
        <f>INDEX($BD$4:$BD$7,MATCH($D$3,$BA$4:$BA$7,0))</f>
        <v>0.95</v>
      </c>
      <c r="AC27" s="182">
        <f>INDEX($BE$4:$BE$7,MATCH($D$3,$BA$4:$BA$7,0))</f>
        <v>0.95</v>
      </c>
    </row>
    <row r="28" spans="1:45">
      <c r="A28" s="185" t="s">
        <v>16</v>
      </c>
      <c r="B28" s="186" t="str">
        <f>B15</f>
        <v>TFHCV2</v>
      </c>
      <c r="C28" s="186" t="str">
        <f>C15</f>
        <v>Transport Freight - HCV2</v>
      </c>
      <c r="D28" s="185" t="s">
        <v>48</v>
      </c>
      <c r="F28" s="230">
        <f>F51/F$60</f>
        <v>9.4676612498750534E-3</v>
      </c>
      <c r="G28" s="62">
        <f t="shared" ref="G28:H35" si="25">F28</f>
        <v>9.4676612498750534E-3</v>
      </c>
      <c r="H28" s="62">
        <f t="shared" si="25"/>
        <v>9.4676612498750534E-3</v>
      </c>
      <c r="I28" s="62">
        <f t="shared" ref="I28:I35" si="26">H28</f>
        <v>9.4676612498750534E-3</v>
      </c>
      <c r="J28" s="62">
        <f t="shared" ref="J28:J35" si="27">I28</f>
        <v>9.4676612498750534E-3</v>
      </c>
      <c r="K28" s="62">
        <f t="shared" ref="K28:K35" si="28">J28</f>
        <v>9.4676612498750534E-3</v>
      </c>
      <c r="L28" s="62">
        <f t="shared" ref="L28:N35" si="29">IF($D$4,AB28,T28)</f>
        <v>9.4676612498750534E-3</v>
      </c>
      <c r="M28" s="62">
        <f t="shared" si="29"/>
        <v>9.4676612498750534E-3</v>
      </c>
      <c r="N28" s="62">
        <f t="shared" si="29"/>
        <v>9.4676612498750534E-3</v>
      </c>
      <c r="P28" s="231">
        <f>$G28</f>
        <v>9.4676612498750534E-3</v>
      </c>
      <c r="Q28" s="231">
        <f>P28</f>
        <v>9.4676612498750534E-3</v>
      </c>
      <c r="R28" s="231">
        <f>Q28</f>
        <v>9.4676612498750534E-3</v>
      </c>
      <c r="S28" s="231">
        <f>R28</f>
        <v>9.4676612498750534E-3</v>
      </c>
      <c r="T28" s="34">
        <f t="shared" ref="T28:T35" si="30">R28</f>
        <v>9.4676612498750534E-3</v>
      </c>
      <c r="U28" s="34">
        <f t="shared" ref="U28:U35" si="31">T28</f>
        <v>9.4676612498750534E-3</v>
      </c>
      <c r="V28" s="34">
        <f>T28</f>
        <v>9.4676612498750534E-3</v>
      </c>
      <c r="W28" s="232"/>
      <c r="X28" s="231">
        <f>P28</f>
        <v>9.4676612498750534E-3</v>
      </c>
      <c r="Y28" s="231">
        <f t="shared" ref="Y28:AA28" si="32">Q28</f>
        <v>9.4676612498750534E-3</v>
      </c>
      <c r="Z28" s="231">
        <f t="shared" si="32"/>
        <v>9.4676612498750534E-3</v>
      </c>
      <c r="AA28" s="231">
        <f t="shared" si="32"/>
        <v>9.4676612498750534E-3</v>
      </c>
      <c r="AB28" s="259">
        <f t="shared" ref="AB28:AB35" si="33">IF(INDEX($BF$4:$BF$7,MATCH($D$3,$BA$4:$BA$7,0)),Z28*$AB$27,Z28)</f>
        <v>8.9942781873813011E-3</v>
      </c>
      <c r="AC28" s="259">
        <f t="shared" ref="AC28:AD35" si="34">IF(INDEX($BF$4:$BF$7,MATCH($D$3,$BA$4:$BA$7,0)),AB28*$AC$27,AB28)</f>
        <v>8.5445642780122358E-3</v>
      </c>
      <c r="AD28" s="72">
        <f t="shared" si="34"/>
        <v>8.1173360641116233E-3</v>
      </c>
      <c r="AE28" s="232"/>
      <c r="AF28" s="232"/>
      <c r="AG28" s="232"/>
      <c r="AH28" s="232"/>
      <c r="AI28" s="232"/>
      <c r="AJ28" s="232"/>
      <c r="AK28" s="232"/>
      <c r="AL28" s="232"/>
      <c r="AM28" s="232"/>
      <c r="AN28" s="232"/>
      <c r="AO28" s="232"/>
      <c r="AP28" s="232"/>
      <c r="AQ28" s="232"/>
      <c r="AR28" s="232"/>
      <c r="AS28" s="232"/>
    </row>
    <row r="29" spans="1:45">
      <c r="A29" s="185" t="s">
        <v>16</v>
      </c>
      <c r="B29" s="186" t="str">
        <f t="shared" ref="B29:C35" si="35">B16</f>
        <v>TFHCV3</v>
      </c>
      <c r="C29" s="186" t="str">
        <f t="shared" si="35"/>
        <v>Transport Freight - HCV3</v>
      </c>
      <c r="F29" s="230">
        <f>F52/F$60</f>
        <v>7.8489485135980169E-2</v>
      </c>
      <c r="G29" s="62">
        <f t="shared" si="25"/>
        <v>7.8489485135980169E-2</v>
      </c>
      <c r="H29" s="62">
        <f t="shared" si="25"/>
        <v>7.8489485135980169E-2</v>
      </c>
      <c r="I29" s="62">
        <f t="shared" si="26"/>
        <v>7.8489485135980169E-2</v>
      </c>
      <c r="J29" s="62">
        <f t="shared" si="27"/>
        <v>7.8489485135980169E-2</v>
      </c>
      <c r="K29" s="62">
        <f t="shared" si="28"/>
        <v>7.8489485135980169E-2</v>
      </c>
      <c r="L29" s="62">
        <f t="shared" si="29"/>
        <v>7.8489485135980169E-2</v>
      </c>
      <c r="M29" s="62">
        <f t="shared" si="29"/>
        <v>7.8489485135980169E-2</v>
      </c>
      <c r="N29" s="62">
        <f t="shared" si="29"/>
        <v>7.8489485135980169E-2</v>
      </c>
      <c r="P29" s="231">
        <f t="shared" ref="P29:P35" si="36">$G29</f>
        <v>7.8489485135980169E-2</v>
      </c>
      <c r="Q29" s="231">
        <f t="shared" ref="Q29:R35" si="37">P29</f>
        <v>7.8489485135980169E-2</v>
      </c>
      <c r="R29" s="231">
        <f t="shared" si="37"/>
        <v>7.8489485135980169E-2</v>
      </c>
      <c r="S29" s="231">
        <f t="shared" ref="S29" si="38">R29</f>
        <v>7.8489485135980169E-2</v>
      </c>
      <c r="T29" s="34">
        <f t="shared" si="30"/>
        <v>7.8489485135980169E-2</v>
      </c>
      <c r="U29" s="34">
        <f t="shared" si="31"/>
        <v>7.8489485135980169E-2</v>
      </c>
      <c r="V29" s="34">
        <f t="shared" ref="V29:V35" si="39">T29</f>
        <v>7.8489485135980169E-2</v>
      </c>
      <c r="W29" s="232"/>
      <c r="X29" s="231">
        <f t="shared" ref="X29:X35" si="40">P29</f>
        <v>7.8489485135980169E-2</v>
      </c>
      <c r="Y29" s="231">
        <f t="shared" ref="Y29:Y35" si="41">Q29</f>
        <v>7.8489485135980169E-2</v>
      </c>
      <c r="Z29" s="231">
        <f t="shared" ref="Z29:Z35" si="42">R29</f>
        <v>7.8489485135980169E-2</v>
      </c>
      <c r="AA29" s="231">
        <f t="shared" ref="AA29:AA35" si="43">S29</f>
        <v>7.8489485135980169E-2</v>
      </c>
      <c r="AB29" s="70">
        <f t="shared" si="33"/>
        <v>7.4565010879181159E-2</v>
      </c>
      <c r="AC29" s="259">
        <f t="shared" si="34"/>
        <v>7.0836760335222099E-2</v>
      </c>
      <c r="AD29" s="72">
        <f t="shared" si="34"/>
        <v>6.7294922318460987E-2</v>
      </c>
      <c r="AE29" s="232"/>
      <c r="AF29" s="232"/>
      <c r="AG29" s="232"/>
      <c r="AH29" s="232"/>
      <c r="AI29" s="232"/>
      <c r="AJ29" s="232"/>
      <c r="AK29" s="232"/>
      <c r="AL29" s="232"/>
      <c r="AM29" s="232"/>
      <c r="AN29" s="232"/>
      <c r="AO29" s="232"/>
      <c r="AP29" s="232"/>
      <c r="AQ29" s="232"/>
      <c r="AR29" s="232"/>
      <c r="AS29" s="232"/>
    </row>
    <row r="30" spans="1:45">
      <c r="A30" s="185" t="s">
        <v>16</v>
      </c>
      <c r="B30" s="186" t="str">
        <f t="shared" si="35"/>
        <v>TFHCV4</v>
      </c>
      <c r="C30" s="186" t="str">
        <f t="shared" si="35"/>
        <v>Transport Freight - HCV4</v>
      </c>
      <c r="F30" s="230">
        <f t="shared" ref="F30:F35" si="44">F53/F$60</f>
        <v>2.6108291894949322E-2</v>
      </c>
      <c r="G30" s="62">
        <f t="shared" si="25"/>
        <v>2.6108291894949322E-2</v>
      </c>
      <c r="H30" s="62">
        <f t="shared" si="25"/>
        <v>2.6108291894949322E-2</v>
      </c>
      <c r="I30" s="62">
        <f t="shared" si="26"/>
        <v>2.6108291894949322E-2</v>
      </c>
      <c r="J30" s="62">
        <f t="shared" si="27"/>
        <v>2.6108291894949322E-2</v>
      </c>
      <c r="K30" s="62">
        <f t="shared" si="28"/>
        <v>2.6108291894949322E-2</v>
      </c>
      <c r="L30" s="62">
        <f t="shared" si="29"/>
        <v>2.6108291894949322E-2</v>
      </c>
      <c r="M30" s="62">
        <f t="shared" si="29"/>
        <v>2.6108291894949322E-2</v>
      </c>
      <c r="N30" s="62">
        <f t="shared" si="29"/>
        <v>2.6108291894949322E-2</v>
      </c>
      <c r="P30" s="231">
        <f t="shared" si="36"/>
        <v>2.6108291894949322E-2</v>
      </c>
      <c r="Q30" s="231">
        <f t="shared" si="37"/>
        <v>2.6108291894949322E-2</v>
      </c>
      <c r="R30" s="231">
        <f t="shared" si="37"/>
        <v>2.6108291894949322E-2</v>
      </c>
      <c r="S30" s="231">
        <f t="shared" ref="S30" si="45">R30</f>
        <v>2.6108291894949322E-2</v>
      </c>
      <c r="T30" s="34">
        <f t="shared" si="30"/>
        <v>2.6108291894949322E-2</v>
      </c>
      <c r="U30" s="34">
        <f t="shared" si="31"/>
        <v>2.6108291894949322E-2</v>
      </c>
      <c r="V30" s="34">
        <f t="shared" si="39"/>
        <v>2.6108291894949322E-2</v>
      </c>
      <c r="W30" s="232"/>
      <c r="X30" s="231">
        <f t="shared" si="40"/>
        <v>2.6108291894949322E-2</v>
      </c>
      <c r="Y30" s="231">
        <f t="shared" si="41"/>
        <v>2.6108291894949322E-2</v>
      </c>
      <c r="Z30" s="231">
        <f t="shared" si="42"/>
        <v>2.6108291894949322E-2</v>
      </c>
      <c r="AA30" s="231">
        <f t="shared" si="43"/>
        <v>2.6108291894949322E-2</v>
      </c>
      <c r="AB30" s="70">
        <f t="shared" si="33"/>
        <v>2.4802877300201854E-2</v>
      </c>
      <c r="AC30" s="259">
        <f t="shared" si="34"/>
        <v>2.356273343519176E-2</v>
      </c>
      <c r="AD30" s="72">
        <f t="shared" si="34"/>
        <v>2.2384596763432171E-2</v>
      </c>
      <c r="AE30" s="232"/>
      <c r="AF30" s="232"/>
      <c r="AG30" s="232"/>
      <c r="AH30" s="232"/>
      <c r="AI30" s="232"/>
      <c r="AJ30" s="232"/>
      <c r="AK30" s="232"/>
      <c r="AL30" s="232"/>
      <c r="AM30" s="232"/>
      <c r="AN30" s="232"/>
      <c r="AO30" s="232"/>
      <c r="AP30" s="232"/>
      <c r="AQ30" s="232"/>
      <c r="AR30" s="232"/>
      <c r="AS30" s="232"/>
    </row>
    <row r="31" spans="1:45">
      <c r="A31" s="185" t="s">
        <v>16</v>
      </c>
      <c r="B31" s="186" t="str">
        <f t="shared" si="35"/>
        <v>TFHCV5</v>
      </c>
      <c r="C31" s="186" t="str">
        <f t="shared" si="35"/>
        <v>Transport Freight - HCV5</v>
      </c>
      <c r="F31" s="230">
        <f t="shared" si="44"/>
        <v>1.7199691913336531E-2</v>
      </c>
      <c r="G31" s="62">
        <f t="shared" si="25"/>
        <v>1.7199691913336531E-2</v>
      </c>
      <c r="H31" s="62">
        <f t="shared" si="25"/>
        <v>1.7199691913336531E-2</v>
      </c>
      <c r="I31" s="62">
        <f t="shared" si="26"/>
        <v>1.7199691913336531E-2</v>
      </c>
      <c r="J31" s="62">
        <f t="shared" si="27"/>
        <v>1.7199691913336531E-2</v>
      </c>
      <c r="K31" s="62">
        <f t="shared" si="28"/>
        <v>1.7199691913336531E-2</v>
      </c>
      <c r="L31" s="62">
        <f t="shared" si="29"/>
        <v>1.7199691913336531E-2</v>
      </c>
      <c r="M31" s="62">
        <f t="shared" si="29"/>
        <v>1.7199691913336531E-2</v>
      </c>
      <c r="N31" s="62">
        <f t="shared" si="29"/>
        <v>1.7199691913336531E-2</v>
      </c>
      <c r="P31" s="231">
        <f t="shared" si="36"/>
        <v>1.7199691913336531E-2</v>
      </c>
      <c r="Q31" s="231">
        <f t="shared" si="37"/>
        <v>1.7199691913336531E-2</v>
      </c>
      <c r="R31" s="231">
        <f t="shared" si="37"/>
        <v>1.7199691913336531E-2</v>
      </c>
      <c r="S31" s="231">
        <f t="shared" ref="S31" si="46">R31</f>
        <v>1.7199691913336531E-2</v>
      </c>
      <c r="T31" s="34">
        <f t="shared" si="30"/>
        <v>1.7199691913336531E-2</v>
      </c>
      <c r="U31" s="34">
        <f t="shared" si="31"/>
        <v>1.7199691913336531E-2</v>
      </c>
      <c r="V31" s="34">
        <f t="shared" si="39"/>
        <v>1.7199691913336531E-2</v>
      </c>
      <c r="W31" s="232"/>
      <c r="X31" s="231">
        <f t="shared" si="40"/>
        <v>1.7199691913336531E-2</v>
      </c>
      <c r="Y31" s="231">
        <f t="shared" si="41"/>
        <v>1.7199691913336531E-2</v>
      </c>
      <c r="Z31" s="231">
        <f t="shared" si="42"/>
        <v>1.7199691913336531E-2</v>
      </c>
      <c r="AA31" s="231">
        <f t="shared" si="43"/>
        <v>1.7199691913336531E-2</v>
      </c>
      <c r="AB31" s="70">
        <f t="shared" si="33"/>
        <v>1.6339707317669705E-2</v>
      </c>
      <c r="AC31" s="259">
        <f t="shared" si="34"/>
        <v>1.5522721951786219E-2</v>
      </c>
      <c r="AD31" s="72">
        <f t="shared" si="34"/>
        <v>1.4746585854196907E-2</v>
      </c>
      <c r="AE31" s="232"/>
      <c r="AF31" s="232"/>
      <c r="AG31" s="232"/>
      <c r="AH31" s="232"/>
      <c r="AI31" s="232"/>
      <c r="AJ31" s="232"/>
      <c r="AK31" s="232"/>
      <c r="AL31" s="232"/>
      <c r="AM31" s="232"/>
      <c r="AN31" s="232"/>
      <c r="AO31" s="232"/>
      <c r="AP31" s="232"/>
      <c r="AQ31" s="232"/>
      <c r="AR31" s="232"/>
      <c r="AS31" s="232"/>
    </row>
    <row r="32" spans="1:45">
      <c r="A32" s="185" t="s">
        <v>16</v>
      </c>
      <c r="B32" s="186" t="str">
        <f t="shared" si="35"/>
        <v>TFHCV6</v>
      </c>
      <c r="C32" s="186" t="str">
        <f t="shared" si="35"/>
        <v>Transport Freight - HCV6</v>
      </c>
      <c r="F32" s="230">
        <f t="shared" si="44"/>
        <v>0.56836281793433707</v>
      </c>
      <c r="G32" s="62">
        <f t="shared" si="25"/>
        <v>0.56836281793433707</v>
      </c>
      <c r="H32" s="62">
        <f t="shared" si="25"/>
        <v>0.56836281793433707</v>
      </c>
      <c r="I32" s="62">
        <f t="shared" si="26"/>
        <v>0.56836281793433707</v>
      </c>
      <c r="J32" s="62">
        <f t="shared" si="27"/>
        <v>0.56836281793433707</v>
      </c>
      <c r="K32" s="62">
        <f t="shared" si="28"/>
        <v>0.56836281793433707</v>
      </c>
      <c r="L32" s="62">
        <f t="shared" si="29"/>
        <v>0.56836281793433707</v>
      </c>
      <c r="M32" s="62">
        <f t="shared" si="29"/>
        <v>0.56836281793433707</v>
      </c>
      <c r="N32" s="62">
        <f t="shared" si="29"/>
        <v>0.56836281793433707</v>
      </c>
      <c r="P32" s="231">
        <f t="shared" si="36"/>
        <v>0.56836281793433707</v>
      </c>
      <c r="Q32" s="231">
        <f t="shared" si="37"/>
        <v>0.56836281793433707</v>
      </c>
      <c r="R32" s="231">
        <f t="shared" si="37"/>
        <v>0.56836281793433707</v>
      </c>
      <c r="S32" s="231">
        <f t="shared" ref="S32" si="47">R32</f>
        <v>0.56836281793433707</v>
      </c>
      <c r="T32" s="34">
        <f t="shared" si="30"/>
        <v>0.56836281793433707</v>
      </c>
      <c r="U32" s="34">
        <f t="shared" si="31"/>
        <v>0.56836281793433707</v>
      </c>
      <c r="V32" s="34">
        <f t="shared" si="39"/>
        <v>0.56836281793433707</v>
      </c>
      <c r="W32" s="232"/>
      <c r="X32" s="231">
        <f t="shared" si="40"/>
        <v>0.56836281793433707</v>
      </c>
      <c r="Y32" s="231">
        <f t="shared" si="41"/>
        <v>0.56836281793433707</v>
      </c>
      <c r="Z32" s="231">
        <f t="shared" si="42"/>
        <v>0.56836281793433707</v>
      </c>
      <c r="AA32" s="231">
        <f t="shared" si="43"/>
        <v>0.56836281793433707</v>
      </c>
      <c r="AB32" s="70">
        <f t="shared" si="33"/>
        <v>0.53994467703762017</v>
      </c>
      <c r="AC32" s="259">
        <f t="shared" si="34"/>
        <v>0.51294744318573915</v>
      </c>
      <c r="AD32" s="72">
        <f t="shared" si="34"/>
        <v>0.48730007102645218</v>
      </c>
      <c r="AE32" s="232"/>
      <c r="AF32" s="232"/>
      <c r="AG32" s="232"/>
      <c r="AH32" s="232"/>
      <c r="AI32" s="232"/>
      <c r="AJ32" s="232"/>
      <c r="AK32" s="232"/>
      <c r="AL32" s="232"/>
      <c r="AM32" s="232"/>
      <c r="AN32" s="232"/>
      <c r="AO32" s="232"/>
      <c r="AP32" s="232"/>
      <c r="AQ32" s="232"/>
      <c r="AR32" s="232"/>
      <c r="AS32" s="232"/>
    </row>
    <row r="33" spans="1:45">
      <c r="A33" s="185" t="s">
        <v>16</v>
      </c>
      <c r="B33" s="186" t="str">
        <f t="shared" si="35"/>
        <v>TFHCV7</v>
      </c>
      <c r="C33" s="186" t="str">
        <f t="shared" si="35"/>
        <v>Transport Freight - HCV7</v>
      </c>
      <c r="F33" s="230">
        <f t="shared" si="44"/>
        <v>0.16189701580843874</v>
      </c>
      <c r="G33" s="62">
        <f t="shared" si="25"/>
        <v>0.16189701580843874</v>
      </c>
      <c r="H33" s="62">
        <f t="shared" si="25"/>
        <v>0.16189701580843874</v>
      </c>
      <c r="I33" s="62">
        <f t="shared" si="26"/>
        <v>0.16189701580843874</v>
      </c>
      <c r="J33" s="62">
        <f t="shared" si="27"/>
        <v>0.16189701580843874</v>
      </c>
      <c r="K33" s="62">
        <f t="shared" si="28"/>
        <v>0.16189701580843874</v>
      </c>
      <c r="L33" s="62">
        <f t="shared" si="29"/>
        <v>0.16189701580843874</v>
      </c>
      <c r="M33" s="62">
        <f t="shared" si="29"/>
        <v>0.16189701580843874</v>
      </c>
      <c r="N33" s="62">
        <f t="shared" si="29"/>
        <v>0.16189701580843874</v>
      </c>
      <c r="P33" s="231">
        <f t="shared" si="36"/>
        <v>0.16189701580843874</v>
      </c>
      <c r="Q33" s="231">
        <f t="shared" si="37"/>
        <v>0.16189701580843874</v>
      </c>
      <c r="R33" s="231">
        <f t="shared" si="37"/>
        <v>0.16189701580843874</v>
      </c>
      <c r="S33" s="231">
        <f t="shared" ref="S33" si="48">R33</f>
        <v>0.16189701580843874</v>
      </c>
      <c r="T33" s="34">
        <f t="shared" si="30"/>
        <v>0.16189701580843874</v>
      </c>
      <c r="U33" s="34">
        <f t="shared" si="31"/>
        <v>0.16189701580843874</v>
      </c>
      <c r="V33" s="34">
        <f t="shared" si="39"/>
        <v>0.16189701580843874</v>
      </c>
      <c r="W33" s="232"/>
      <c r="X33" s="231">
        <f t="shared" si="40"/>
        <v>0.16189701580843874</v>
      </c>
      <c r="Y33" s="231">
        <f t="shared" si="41"/>
        <v>0.16189701580843874</v>
      </c>
      <c r="Z33" s="231">
        <f t="shared" si="42"/>
        <v>0.16189701580843874</v>
      </c>
      <c r="AA33" s="231">
        <f t="shared" si="43"/>
        <v>0.16189701580843874</v>
      </c>
      <c r="AB33" s="70">
        <f t="shared" si="33"/>
        <v>0.1538021650180168</v>
      </c>
      <c r="AC33" s="259">
        <f t="shared" si="34"/>
        <v>0.14611205676711594</v>
      </c>
      <c r="AD33" s="72">
        <f t="shared" si="34"/>
        <v>0.13880645392876015</v>
      </c>
      <c r="AE33" s="232"/>
      <c r="AF33" s="232"/>
      <c r="AG33" s="232"/>
      <c r="AH33" s="232"/>
      <c r="AI33" s="232"/>
      <c r="AJ33" s="232"/>
      <c r="AK33" s="232"/>
      <c r="AL33" s="232"/>
      <c r="AM33" s="232"/>
      <c r="AN33" s="232"/>
      <c r="AO33" s="232"/>
      <c r="AP33" s="232"/>
      <c r="AQ33" s="232"/>
      <c r="AR33" s="232"/>
      <c r="AS33" s="232"/>
    </row>
    <row r="34" spans="1:45">
      <c r="A34" s="185" t="s">
        <v>16</v>
      </c>
      <c r="B34" s="186" t="str">
        <f t="shared" si="35"/>
        <v>TFHCV8</v>
      </c>
      <c r="C34" s="186" t="str">
        <f t="shared" si="35"/>
        <v>Transport Freight - HCV8</v>
      </c>
      <c r="F34" s="230">
        <f t="shared" si="44"/>
        <v>6.2226033461875293E-3</v>
      </c>
      <c r="G34" s="62">
        <f t="shared" si="25"/>
        <v>6.2226033461875293E-3</v>
      </c>
      <c r="H34" s="62">
        <f t="shared" si="25"/>
        <v>6.2226033461875293E-3</v>
      </c>
      <c r="I34" s="62">
        <f t="shared" si="26"/>
        <v>6.2226033461875293E-3</v>
      </c>
      <c r="J34" s="62">
        <f t="shared" si="27"/>
        <v>6.2226033461875293E-3</v>
      </c>
      <c r="K34" s="62">
        <f t="shared" si="28"/>
        <v>6.2226033461875293E-3</v>
      </c>
      <c r="L34" s="62">
        <f t="shared" si="29"/>
        <v>6.2226033461875293E-3</v>
      </c>
      <c r="M34" s="62">
        <f t="shared" si="29"/>
        <v>6.2226033461875293E-3</v>
      </c>
      <c r="N34" s="62">
        <f t="shared" si="29"/>
        <v>6.2226033461875293E-3</v>
      </c>
      <c r="P34" s="231">
        <f t="shared" si="36"/>
        <v>6.2226033461875293E-3</v>
      </c>
      <c r="Q34" s="231">
        <f t="shared" si="37"/>
        <v>6.2226033461875293E-3</v>
      </c>
      <c r="R34" s="231">
        <f t="shared" si="37"/>
        <v>6.2226033461875293E-3</v>
      </c>
      <c r="S34" s="231">
        <f t="shared" ref="S34" si="49">R34</f>
        <v>6.2226033461875293E-3</v>
      </c>
      <c r="T34" s="34">
        <f t="shared" si="30"/>
        <v>6.2226033461875293E-3</v>
      </c>
      <c r="U34" s="34">
        <f t="shared" si="31"/>
        <v>6.2226033461875293E-3</v>
      </c>
      <c r="V34" s="34">
        <f t="shared" si="39"/>
        <v>6.2226033461875293E-3</v>
      </c>
      <c r="W34" s="232"/>
      <c r="X34" s="231">
        <f t="shared" si="40"/>
        <v>6.2226033461875293E-3</v>
      </c>
      <c r="Y34" s="231">
        <f t="shared" si="41"/>
        <v>6.2226033461875293E-3</v>
      </c>
      <c r="Z34" s="231">
        <f t="shared" si="42"/>
        <v>6.2226033461875293E-3</v>
      </c>
      <c r="AA34" s="231">
        <f t="shared" si="43"/>
        <v>6.2226033461875293E-3</v>
      </c>
      <c r="AB34" s="70">
        <f t="shared" si="33"/>
        <v>5.9114731788781523E-3</v>
      </c>
      <c r="AC34" s="259">
        <f t="shared" si="34"/>
        <v>5.6158995199342447E-3</v>
      </c>
      <c r="AD34" s="72">
        <f t="shared" si="34"/>
        <v>5.3351045439375324E-3</v>
      </c>
      <c r="AE34" s="232"/>
      <c r="AF34" s="232"/>
      <c r="AG34" s="232"/>
      <c r="AH34" s="232"/>
      <c r="AI34" s="232"/>
      <c r="AJ34" s="232"/>
      <c r="AK34" s="232"/>
      <c r="AL34" s="232"/>
      <c r="AM34" s="232"/>
      <c r="AN34" s="232"/>
      <c r="AO34" s="232"/>
      <c r="AP34" s="232"/>
      <c r="AQ34" s="232"/>
      <c r="AR34" s="232"/>
      <c r="AS34" s="232"/>
    </row>
    <row r="35" spans="1:45">
      <c r="A35" s="185" t="s">
        <v>16</v>
      </c>
      <c r="B35" s="186" t="str">
        <f t="shared" si="35"/>
        <v>TFHCV9</v>
      </c>
      <c r="C35" s="186" t="str">
        <f t="shared" si="35"/>
        <v>Transport Freight - HCV9</v>
      </c>
      <c r="F35" s="230">
        <f t="shared" si="44"/>
        <v>5.0622264837377005E-3</v>
      </c>
      <c r="G35" s="62">
        <f t="shared" si="25"/>
        <v>5.0622264837377005E-3</v>
      </c>
      <c r="H35" s="62">
        <f t="shared" si="25"/>
        <v>5.0622264837377005E-3</v>
      </c>
      <c r="I35" s="62">
        <f t="shared" si="26"/>
        <v>5.0622264837377005E-3</v>
      </c>
      <c r="J35" s="62">
        <f t="shared" si="27"/>
        <v>5.0622264837377005E-3</v>
      </c>
      <c r="K35" s="62">
        <f t="shared" si="28"/>
        <v>5.0622264837377005E-3</v>
      </c>
      <c r="L35" s="62">
        <f t="shared" si="29"/>
        <v>5.0622264837377005E-3</v>
      </c>
      <c r="M35" s="62">
        <f t="shared" si="29"/>
        <v>5.0622264837377005E-3</v>
      </c>
      <c r="N35" s="62">
        <f t="shared" si="29"/>
        <v>5.0622264837377005E-3</v>
      </c>
      <c r="P35" s="231">
        <f t="shared" si="36"/>
        <v>5.0622264837377005E-3</v>
      </c>
      <c r="Q35" s="231">
        <f t="shared" si="37"/>
        <v>5.0622264837377005E-3</v>
      </c>
      <c r="R35" s="231">
        <f t="shared" si="37"/>
        <v>5.0622264837377005E-3</v>
      </c>
      <c r="S35" s="231">
        <f t="shared" ref="S35" si="50">R35</f>
        <v>5.0622264837377005E-3</v>
      </c>
      <c r="T35" s="34">
        <f t="shared" si="30"/>
        <v>5.0622264837377005E-3</v>
      </c>
      <c r="U35" s="34">
        <f t="shared" si="31"/>
        <v>5.0622264837377005E-3</v>
      </c>
      <c r="V35" s="34">
        <f t="shared" si="39"/>
        <v>5.0622264837377005E-3</v>
      </c>
      <c r="W35" s="232"/>
      <c r="X35" s="231">
        <f t="shared" si="40"/>
        <v>5.0622264837377005E-3</v>
      </c>
      <c r="Y35" s="231">
        <f t="shared" si="41"/>
        <v>5.0622264837377005E-3</v>
      </c>
      <c r="Z35" s="231">
        <f t="shared" si="42"/>
        <v>5.0622264837377005E-3</v>
      </c>
      <c r="AA35" s="231">
        <f t="shared" si="43"/>
        <v>5.0622264837377005E-3</v>
      </c>
      <c r="AB35" s="70">
        <f t="shared" si="33"/>
        <v>4.8091151595508154E-3</v>
      </c>
      <c r="AC35" s="259">
        <f t="shared" si="34"/>
        <v>4.5686594015732747E-3</v>
      </c>
      <c r="AD35" s="72">
        <f t="shared" si="34"/>
        <v>4.3402264314946109E-3</v>
      </c>
      <c r="AE35" s="232"/>
      <c r="AF35" s="232"/>
      <c r="AG35" s="232"/>
      <c r="AH35" s="232"/>
      <c r="AI35" s="232"/>
      <c r="AJ35" s="232"/>
      <c r="AK35" s="232"/>
      <c r="AL35" s="232"/>
      <c r="AM35" s="232"/>
      <c r="AN35" s="232"/>
      <c r="AO35" s="232"/>
      <c r="AP35" s="232"/>
      <c r="AQ35" s="232"/>
      <c r="AR35" s="232"/>
      <c r="AS35" s="232"/>
    </row>
    <row r="36" spans="1:45">
      <c r="A36" s="185" t="s">
        <v>16</v>
      </c>
      <c r="B36" s="186" t="str">
        <f>B23</f>
        <v>TFRCO</v>
      </c>
      <c r="C36" s="186" t="str">
        <f>C23</f>
        <v>Transport Freight - Rail Corridor</v>
      </c>
      <c r="D36" s="185" t="s">
        <v>48</v>
      </c>
      <c r="F36" s="230">
        <f>F59/F$60</f>
        <v>0.12719020623315802</v>
      </c>
      <c r="G36" s="62">
        <f t="shared" ref="G36:H36" si="51">1-SUM(G28:G35)</f>
        <v>0.12719020623315791</v>
      </c>
      <c r="H36" s="62">
        <f t="shared" si="51"/>
        <v>0.12719020623315791</v>
      </c>
      <c r="I36" s="62">
        <f t="shared" ref="I36:K36" si="52">1-SUM(I28:I35)</f>
        <v>0.12719020623315791</v>
      </c>
      <c r="J36" s="62">
        <f t="shared" si="52"/>
        <v>0.12719020623315791</v>
      </c>
      <c r="K36" s="62">
        <f t="shared" si="52"/>
        <v>0.12719020623315791</v>
      </c>
      <c r="L36" s="62">
        <f>1-SUM(L28:L35)</f>
        <v>0.12719020623315791</v>
      </c>
      <c r="M36" s="62">
        <f>1-SUM(M28:M35)</f>
        <v>0.12719020623315791</v>
      </c>
      <c r="N36" s="62">
        <f>1-SUM(N28:N35)</f>
        <v>0.12719020623315791</v>
      </c>
      <c r="P36" s="231">
        <f>$G36</f>
        <v>0.12719020623315791</v>
      </c>
      <c r="Q36" s="62">
        <f t="shared" ref="Q36:V36" si="53">1-SUM(Q28:Q35)</f>
        <v>0.12719020623315791</v>
      </c>
      <c r="R36" s="62">
        <f t="shared" si="53"/>
        <v>0.12719020623315791</v>
      </c>
      <c r="S36" s="62">
        <f t="shared" si="53"/>
        <v>0.12719020623315791</v>
      </c>
      <c r="T36" s="62">
        <f t="shared" si="53"/>
        <v>0.12719020623315791</v>
      </c>
      <c r="U36" s="62">
        <f t="shared" si="53"/>
        <v>0.12719020623315791</v>
      </c>
      <c r="V36" s="62">
        <f t="shared" si="53"/>
        <v>0.12719020623315791</v>
      </c>
      <c r="W36" s="232"/>
      <c r="X36" s="231">
        <f>$G36</f>
        <v>0.12719020623315791</v>
      </c>
      <c r="Y36" s="62">
        <f t="shared" ref="Y36:AD36" si="54">1-SUM(Y28:Y35)</f>
        <v>0.12719020623315791</v>
      </c>
      <c r="Z36" s="62">
        <f t="shared" si="54"/>
        <v>0.12719020623315791</v>
      </c>
      <c r="AA36" s="62">
        <f t="shared" si="54"/>
        <v>0.12719020623315791</v>
      </c>
      <c r="AB36" s="62">
        <f t="shared" si="54"/>
        <v>0.17083069592150002</v>
      </c>
      <c r="AC36" s="62">
        <f t="shared" si="54"/>
        <v>0.21228916112542517</v>
      </c>
      <c r="AD36" s="62">
        <f t="shared" si="54"/>
        <v>0.25167470306915396</v>
      </c>
      <c r="AE36" s="232"/>
      <c r="AF36" s="232"/>
      <c r="AG36" s="232"/>
      <c r="AH36" s="232"/>
      <c r="AI36" s="232"/>
      <c r="AJ36" s="232"/>
      <c r="AK36" s="232"/>
      <c r="AL36" s="232"/>
      <c r="AM36" s="232"/>
      <c r="AN36" s="232"/>
      <c r="AO36" s="232"/>
      <c r="AP36" s="232"/>
      <c r="AQ36" s="232"/>
      <c r="AR36" s="232"/>
      <c r="AS36" s="232"/>
    </row>
    <row r="37" spans="1:45">
      <c r="A37" s="185" t="s">
        <v>16</v>
      </c>
      <c r="Q37" s="287"/>
      <c r="S37" s="287"/>
      <c r="AA37" s="287"/>
    </row>
    <row r="38" spans="1:45" ht="15.75" thickBot="1">
      <c r="A38" s="185" t="s">
        <v>16</v>
      </c>
      <c r="B38" s="14" t="s">
        <v>433</v>
      </c>
      <c r="C38" s="14"/>
      <c r="D38" s="14"/>
      <c r="Q38" s="287"/>
      <c r="S38" s="287"/>
      <c r="AA38" s="287"/>
    </row>
    <row r="39" spans="1:45">
      <c r="A39" s="185" t="s">
        <v>16</v>
      </c>
      <c r="B39" s="186" t="str">
        <f>B14</f>
        <v>TFHCV1</v>
      </c>
      <c r="C39" s="186" t="str">
        <f>C14</f>
        <v>Transport Freight - HCV1</v>
      </c>
      <c r="D39" s="185" t="s">
        <v>48</v>
      </c>
      <c r="F39" s="230">
        <f>F46/F$48</f>
        <v>0.16367820456437782</v>
      </c>
      <c r="G39" s="62">
        <f>IF($D$4,X39,P39)</f>
        <v>0.16367820456437782</v>
      </c>
      <c r="H39" s="62">
        <f>IF($D$4,Z39,R39)</f>
        <v>0.16367820456437782</v>
      </c>
      <c r="I39" s="62">
        <f>IF($D$4,AB39,T39)</f>
        <v>0.16367820456437782</v>
      </c>
      <c r="J39" s="62">
        <f>IF($D$4,Z39,R39)</f>
        <v>0.16367820456437782</v>
      </c>
      <c r="K39" s="62">
        <f>IF($D$4,AB39,T39)</f>
        <v>0.16367820456437782</v>
      </c>
      <c r="L39" s="62">
        <f>IF($D$4,AB39,T39)</f>
        <v>0.16367820456437782</v>
      </c>
      <c r="M39" s="62">
        <f>IF($D$4,AC39,U39)</f>
        <v>0.16367820456437782</v>
      </c>
      <c r="N39" s="62">
        <f>IF($D$4,AD39,V39)</f>
        <v>0.16367820456437782</v>
      </c>
      <c r="P39" s="231">
        <f>$F39</f>
        <v>0.16367820456437782</v>
      </c>
      <c r="Q39" s="231">
        <f>P39</f>
        <v>0.16367820456437782</v>
      </c>
      <c r="R39" s="231">
        <f>Q39</f>
        <v>0.16367820456437782</v>
      </c>
      <c r="S39" s="231">
        <f>R39</f>
        <v>0.16367820456437782</v>
      </c>
      <c r="T39" s="34">
        <f>R39</f>
        <v>0.16367820456437782</v>
      </c>
      <c r="U39" s="34">
        <f>T39</f>
        <v>0.16367820456437782</v>
      </c>
      <c r="V39" s="34">
        <f>T39</f>
        <v>0.16367820456437782</v>
      </c>
      <c r="W39" s="232"/>
      <c r="X39" s="231">
        <f>P39</f>
        <v>0.16367820456437782</v>
      </c>
      <c r="Y39" s="231">
        <f t="shared" ref="Y39:AA39" si="55">Q39</f>
        <v>0.16367820456437782</v>
      </c>
      <c r="Z39" s="231">
        <f t="shared" si="55"/>
        <v>0.16367820456437782</v>
      </c>
      <c r="AA39" s="231">
        <f t="shared" si="55"/>
        <v>0.16367820456437782</v>
      </c>
      <c r="AB39" s="70">
        <f>Z39*0.95</f>
        <v>0.15549429433615891</v>
      </c>
      <c r="AC39" s="70">
        <f>AB39*0.95</f>
        <v>0.14771957961935095</v>
      </c>
      <c r="AD39" s="70">
        <f>AC39*0.95</f>
        <v>0.1403336006383834</v>
      </c>
      <c r="AE39" s="232"/>
      <c r="AF39" s="232"/>
      <c r="AG39" s="232"/>
      <c r="AH39" s="232"/>
      <c r="AI39" s="232"/>
      <c r="AJ39" s="232"/>
      <c r="AK39" s="232"/>
      <c r="AL39" s="232"/>
      <c r="AM39" s="232"/>
      <c r="AN39" s="232"/>
      <c r="AO39" s="232"/>
      <c r="AP39" s="232"/>
      <c r="AQ39" s="232"/>
      <c r="AR39" s="232"/>
      <c r="AS39" s="232"/>
    </row>
    <row r="40" spans="1:45">
      <c r="A40" s="185" t="s">
        <v>16</v>
      </c>
      <c r="B40" s="186" t="str">
        <f>B24</f>
        <v>TFROT</v>
      </c>
      <c r="C40" s="186" t="str">
        <f>C24</f>
        <v>Transport Freight - Rail Other</v>
      </c>
      <c r="D40" s="185" t="s">
        <v>48</v>
      </c>
      <c r="F40" s="230">
        <f>F47/F$48</f>
        <v>0.83632179543562224</v>
      </c>
      <c r="G40" s="62">
        <f t="shared" ref="G40:H40" si="56">1-G39</f>
        <v>0.83632179543562213</v>
      </c>
      <c r="H40" s="62">
        <f t="shared" si="56"/>
        <v>0.83632179543562213</v>
      </c>
      <c r="I40" s="62">
        <f t="shared" ref="I40" si="57">1-I39</f>
        <v>0.83632179543562213</v>
      </c>
      <c r="J40" s="62">
        <f>1-J39</f>
        <v>0.83632179543562213</v>
      </c>
      <c r="K40" s="62">
        <f>1-K39</f>
        <v>0.83632179543562213</v>
      </c>
      <c r="L40" s="62">
        <f>1-L39</f>
        <v>0.83632179543562213</v>
      </c>
      <c r="M40" s="62">
        <f>1-M39</f>
        <v>0.83632179543562213</v>
      </c>
      <c r="N40" s="62">
        <f>1-N39</f>
        <v>0.83632179543562213</v>
      </c>
      <c r="P40" s="231">
        <f>$G40</f>
        <v>0.83632179543562213</v>
      </c>
      <c r="Q40" s="62">
        <f t="shared" ref="Q40:V40" si="58">1-Q39</f>
        <v>0.83632179543562213</v>
      </c>
      <c r="R40" s="62">
        <f t="shared" si="58"/>
        <v>0.83632179543562213</v>
      </c>
      <c r="S40" s="62">
        <f t="shared" si="58"/>
        <v>0.83632179543562213</v>
      </c>
      <c r="T40" s="62">
        <f t="shared" si="58"/>
        <v>0.83632179543562213</v>
      </c>
      <c r="U40" s="62">
        <f t="shared" si="58"/>
        <v>0.83632179543562213</v>
      </c>
      <c r="V40" s="62">
        <f t="shared" si="58"/>
        <v>0.83632179543562213</v>
      </c>
      <c r="W40" s="232"/>
      <c r="X40" s="231">
        <f>P40</f>
        <v>0.83632179543562213</v>
      </c>
      <c r="Y40" s="231">
        <f t="shared" ref="Y40" si="59">Q40</f>
        <v>0.83632179543562213</v>
      </c>
      <c r="Z40" s="231">
        <f t="shared" ref="Z40" si="60">R40</f>
        <v>0.83632179543562213</v>
      </c>
      <c r="AA40" s="231">
        <f t="shared" ref="AA40" si="61">S40</f>
        <v>0.83632179543562213</v>
      </c>
      <c r="AB40" s="62">
        <f>1-AB39</f>
        <v>0.84450570566384109</v>
      </c>
      <c r="AC40" s="62">
        <f>1-AC39</f>
        <v>0.85228042038064911</v>
      </c>
      <c r="AD40" s="62">
        <f>1-AD39</f>
        <v>0.8596663993616166</v>
      </c>
      <c r="AE40" s="232"/>
      <c r="AF40" s="232"/>
      <c r="AG40" s="232"/>
      <c r="AH40" s="232"/>
      <c r="AI40" s="232"/>
      <c r="AJ40" s="232"/>
      <c r="AK40" s="232"/>
      <c r="AL40" s="232"/>
      <c r="AM40" s="232"/>
      <c r="AN40" s="232"/>
      <c r="AO40" s="232"/>
      <c r="AP40" s="232"/>
      <c r="AQ40" s="232"/>
      <c r="AR40" s="232"/>
      <c r="AS40" s="232"/>
    </row>
    <row r="41" spans="1:45">
      <c r="A41" s="185" t="s">
        <v>16</v>
      </c>
      <c r="I41" s="283"/>
      <c r="K41" s="283"/>
    </row>
    <row r="42" spans="1:45" ht="15.75" thickBot="1">
      <c r="A42" s="185" t="s">
        <v>16</v>
      </c>
      <c r="B42" s="14" t="s">
        <v>207</v>
      </c>
      <c r="C42" s="14"/>
      <c r="D42" s="14"/>
      <c r="G42" s="47"/>
      <c r="H42" s="47"/>
      <c r="I42" s="47"/>
      <c r="K42" s="283"/>
    </row>
    <row r="43" spans="1:45">
      <c r="A43" s="185" t="s">
        <v>16</v>
      </c>
      <c r="B43" s="186"/>
      <c r="C43" s="3" t="s">
        <v>5</v>
      </c>
      <c r="D43" s="5" t="s">
        <v>149</v>
      </c>
      <c r="E43" s="5"/>
      <c r="F43" s="47">
        <f>F63*F92</f>
        <v>17.151878492126293</v>
      </c>
      <c r="G43" s="47">
        <f>F43*(1+(F13+G13)/2*((G7/F7)^(1/(G$4-F$4))-1))^(G$4-F$4)</f>
        <v>17.976210697254331</v>
      </c>
      <c r="H43" s="47">
        <f>G43*(1+(G13+H13)/2*((H7/G7)^(1/(H$4-G$4))-1))^(H$4-G$4)</f>
        <v>18.275173489492516</v>
      </c>
      <c r="I43" s="47">
        <f>H43*(1+(H13+I13)/2*((I7/H7)^(1/(I$4-H$4))-1))^(I$4-H$4)</f>
        <v>18.474728708006445</v>
      </c>
      <c r="J43" s="47">
        <f>G43*(1+(G13+J13)/2*((J7/G7)^(1/(J$4-G$4))-1))^(J$4-G$4)</f>
        <v>17.381664585844597</v>
      </c>
      <c r="K43" s="47">
        <f>H43*(1+(H13+K13)/2*((K7/H7)^(1/(K$4-H$4))-1))^(K$4-H$4)</f>
        <v>17.672226072169018</v>
      </c>
      <c r="L43" s="47">
        <f>J43*(1+(J13+L13)/2*((L7/J7)^(1/(L$4-J$4))-1))^(L$4-J$4)</f>
        <v>20.48244861471408</v>
      </c>
      <c r="M43" s="47">
        <f>L43*(1+(L13+M13)/2*((M7/L7)^(1/(M$4-L$4))-1))^(M$4-L$4)</f>
        <v>25.633401816400347</v>
      </c>
      <c r="N43" s="47">
        <f>M43*(1+(M13+N13)/2*((N7/M7)^(1/(N$4-M$4))-1))^(N$4-M$4)</f>
        <v>33.146544753796483</v>
      </c>
      <c r="O43" s="47"/>
      <c r="P43" s="47">
        <f>$G43</f>
        <v>17.976210697254331</v>
      </c>
      <c r="Q43" s="47">
        <f>I43</f>
        <v>18.474728708006445</v>
      </c>
      <c r="R43" s="47">
        <f t="shared" ref="R43:S43" si="62">J43</f>
        <v>17.381664585844597</v>
      </c>
      <c r="S43" s="47">
        <f t="shared" si="62"/>
        <v>17.672226072169018</v>
      </c>
      <c r="T43" s="313">
        <f>R43*(1+(R13+T13)/2*((T7/R7)^(1/(T$4-R$4))-1))^(T$4-R$4)</f>
        <v>20.48244861471408</v>
      </c>
      <c r="U43" s="313">
        <f>T43*(1+(T13+U13)/2*((U7/T7)^(1/(U$4-T$4))-1))^(U$4-T$4)</f>
        <v>25.633401816400347</v>
      </c>
      <c r="V43" s="313">
        <f>U43*(1+(U13+V13)/2*((V7/U7)^(1/(V$4-U$4))-1))^(V$4-U$4)</f>
        <v>33.146544753796483</v>
      </c>
      <c r="X43" s="47">
        <f>P43</f>
        <v>17.976210697254331</v>
      </c>
      <c r="Y43" s="47">
        <f t="shared" ref="Y43:AA43" si="63">Q43</f>
        <v>18.474728708006445</v>
      </c>
      <c r="Z43" s="47">
        <f t="shared" si="63"/>
        <v>17.381664585844597</v>
      </c>
      <c r="AA43" s="47">
        <f t="shared" si="63"/>
        <v>17.672226072169018</v>
      </c>
      <c r="AB43" s="313">
        <f>Z43*(1+(Z13+AB13)/2*((AB7/Z7)^(1/(AB$4-Z$4))-1))^(AB$4-Z$4)</f>
        <v>20.48244861471408</v>
      </c>
      <c r="AC43" s="313">
        <f>AB43*(1+(AB13+AC13)/2*((AC7/AB7)^(1/(AC$4-AB$4))-1))^(AC$4-AB$4)</f>
        <v>25.633401816400347</v>
      </c>
      <c r="AD43" s="313">
        <f>AC43*(1+(AC13+AD13)/2*((AD7/AC7)^(1/(AD$4-AC$4))-1))^(AD$4-AC$4)</f>
        <v>33.146544753796483</v>
      </c>
    </row>
    <row r="44" spans="1:45">
      <c r="A44" s="185" t="s">
        <v>16</v>
      </c>
      <c r="I44" s="283"/>
      <c r="K44" s="283"/>
      <c r="Q44" s="287"/>
      <c r="R44" s="287"/>
    </row>
    <row r="45" spans="1:45" ht="15.75" thickBot="1">
      <c r="A45" s="185" t="s">
        <v>16</v>
      </c>
      <c r="B45" s="14" t="s">
        <v>411</v>
      </c>
      <c r="C45" s="14"/>
      <c r="D45" s="14"/>
      <c r="I45" s="283"/>
      <c r="K45" s="283"/>
      <c r="Q45" s="287"/>
      <c r="R45" s="287"/>
    </row>
    <row r="46" spans="1:45">
      <c r="A46" s="185" t="s">
        <v>16</v>
      </c>
      <c r="B46" s="186" t="str">
        <f>B39</f>
        <v>TFHCV1</v>
      </c>
      <c r="C46" s="186" t="str">
        <f>C39</f>
        <v>Transport Freight - HCV1</v>
      </c>
      <c r="D46" s="185" t="s">
        <v>149</v>
      </c>
      <c r="F46" s="10">
        <f>F64*F93</f>
        <v>4.9123710000000003</v>
      </c>
      <c r="G46" s="10">
        <f t="shared" ref="G46:N46" si="64">G39*G$48</f>
        <v>5.1484632519767128</v>
      </c>
      <c r="H46" s="10">
        <f t="shared" si="64"/>
        <v>5.2340874680848239</v>
      </c>
      <c r="I46" s="10">
        <f t="shared" si="64"/>
        <v>5.2912409319912115</v>
      </c>
      <c r="J46" s="10">
        <f t="shared" si="64"/>
        <v>4.9781827152301004</v>
      </c>
      <c r="K46" s="10">
        <f t="shared" si="64"/>
        <v>5.0614007615678354</v>
      </c>
      <c r="L46" s="10">
        <f t="shared" si="64"/>
        <v>5.8662604582991227</v>
      </c>
      <c r="M46" s="10">
        <f t="shared" si="64"/>
        <v>7.3415153781574052</v>
      </c>
      <c r="N46" s="10">
        <f t="shared" si="64"/>
        <v>9.4933114920036061</v>
      </c>
      <c r="P46" s="10">
        <f t="shared" ref="P46" si="65">P39*P$48</f>
        <v>5.1484632519767128</v>
      </c>
      <c r="Q46" s="10">
        <f t="shared" ref="Q46:Q48" si="66">$I46</f>
        <v>5.2912409319912115</v>
      </c>
      <c r="R46" s="10">
        <f t="shared" ref="R46:V47" si="67">R39*R$48</f>
        <v>4.9781827152301004</v>
      </c>
      <c r="S46" s="10">
        <f t="shared" si="67"/>
        <v>5.0618873580717327</v>
      </c>
      <c r="T46" s="312">
        <f t="shared" si="67"/>
        <v>5.8662604582991227</v>
      </c>
      <c r="U46" s="312">
        <f t="shared" si="67"/>
        <v>7.3415153781574052</v>
      </c>
      <c r="V46" s="312">
        <f t="shared" si="67"/>
        <v>9.4933114920036061</v>
      </c>
      <c r="W46" s="10"/>
      <c r="X46" s="10">
        <f t="shared" ref="X46:AD47" si="68">X39*X$48</f>
        <v>5.1484632519767128</v>
      </c>
      <c r="Y46" s="10">
        <f t="shared" si="68"/>
        <v>5.2912409319912115</v>
      </c>
      <c r="Z46" s="10">
        <f t="shared" si="68"/>
        <v>4.9781827152301004</v>
      </c>
      <c r="AA46" s="10">
        <f t="shared" si="68"/>
        <v>5.0618873580717327</v>
      </c>
      <c r="AB46" s="312">
        <f t="shared" si="68"/>
        <v>5.5729474353841661</v>
      </c>
      <c r="AC46" s="312">
        <f t="shared" si="68"/>
        <v>6.6257176287870569</v>
      </c>
      <c r="AD46" s="312">
        <f t="shared" si="68"/>
        <v>8.1393279404565906</v>
      </c>
      <c r="AE46" s="10"/>
      <c r="AF46" s="10"/>
      <c r="AG46" s="10"/>
      <c r="AH46" s="10"/>
      <c r="AI46" s="10"/>
      <c r="AJ46" s="10"/>
      <c r="AK46" s="10"/>
      <c r="AL46" s="10"/>
      <c r="AM46" s="10"/>
      <c r="AN46" s="10"/>
      <c r="AO46" s="10"/>
      <c r="AP46" s="10"/>
      <c r="AQ46" s="10"/>
      <c r="AR46" s="10"/>
      <c r="AS46" s="10"/>
    </row>
    <row r="47" spans="1:45">
      <c r="A47" s="185" t="s">
        <v>16</v>
      </c>
      <c r="B47" s="186" t="str">
        <f>B40</f>
        <v>TFROT</v>
      </c>
      <c r="C47" s="186" t="str">
        <f>C40</f>
        <v>Transport Freight - Rail Other</v>
      </c>
      <c r="D47" s="185" t="s">
        <v>149</v>
      </c>
      <c r="F47" s="10">
        <f>F103</f>
        <v>25.1</v>
      </c>
      <c r="G47" s="10">
        <f t="shared" ref="G47:H47" si="69">G40*G$48</f>
        <v>26.306324914102674</v>
      </c>
      <c r="H47" s="10">
        <f t="shared" si="69"/>
        <v>26.743826036129814</v>
      </c>
      <c r="I47" s="10">
        <f t="shared" ref="I47" si="70">I40*I$48</f>
        <v>27.035854456631917</v>
      </c>
      <c r="J47" s="10">
        <f>J40*J$48</f>
        <v>25.436268179312091</v>
      </c>
      <c r="K47" s="10">
        <f>K40*K$48</f>
        <v>25.861474859157145</v>
      </c>
      <c r="L47" s="10">
        <f>L40*L$48</f>
        <v>29.973944863551218</v>
      </c>
      <c r="M47" s="10">
        <f>M40*M$48</f>
        <v>37.511832064750571</v>
      </c>
      <c r="N47" s="10">
        <f>N40*N$48</f>
        <v>48.506539601607955</v>
      </c>
      <c r="P47" s="10">
        <f>P40*P$48</f>
        <v>26.306324914102674</v>
      </c>
      <c r="Q47" s="10">
        <f t="shared" si="66"/>
        <v>27.035854456631917</v>
      </c>
      <c r="R47" s="10">
        <f t="shared" si="67"/>
        <v>25.436268179312091</v>
      </c>
      <c r="S47" s="10">
        <f t="shared" si="67"/>
        <v>25.863961147804282</v>
      </c>
      <c r="T47" s="312">
        <f t="shared" si="67"/>
        <v>29.973944863551218</v>
      </c>
      <c r="U47" s="312">
        <f t="shared" si="67"/>
        <v>37.511832064750571</v>
      </c>
      <c r="V47" s="312">
        <f t="shared" si="67"/>
        <v>48.506539601607955</v>
      </c>
      <c r="W47" s="10"/>
      <c r="X47" s="10">
        <f t="shared" si="68"/>
        <v>26.306324914102674</v>
      </c>
      <c r="Y47" s="10">
        <f t="shared" si="68"/>
        <v>27.035854456631917</v>
      </c>
      <c r="Z47" s="10">
        <f t="shared" si="68"/>
        <v>25.436268179312091</v>
      </c>
      <c r="AA47" s="10">
        <f t="shared" si="68"/>
        <v>25.863961147804282</v>
      </c>
      <c r="AB47" s="312">
        <f t="shared" si="68"/>
        <v>30.267257886466176</v>
      </c>
      <c r="AC47" s="312">
        <f t="shared" si="68"/>
        <v>38.227629814120924</v>
      </c>
      <c r="AD47" s="312">
        <f t="shared" si="68"/>
        <v>49.860523153154979</v>
      </c>
      <c r="AE47" s="10"/>
      <c r="AF47" s="10"/>
      <c r="AG47" s="10"/>
      <c r="AH47" s="10"/>
      <c r="AI47" s="10"/>
      <c r="AJ47" s="10"/>
      <c r="AK47" s="10"/>
      <c r="AL47" s="10"/>
      <c r="AM47" s="10"/>
      <c r="AN47" s="10"/>
      <c r="AO47" s="10"/>
      <c r="AP47" s="10"/>
      <c r="AQ47" s="10"/>
      <c r="AR47" s="10"/>
      <c r="AS47" s="10"/>
    </row>
    <row r="48" spans="1:45">
      <c r="A48" s="185" t="s">
        <v>16</v>
      </c>
      <c r="B48" s="186"/>
      <c r="C48" s="3" t="s">
        <v>5</v>
      </c>
      <c r="D48" s="5" t="s">
        <v>149</v>
      </c>
      <c r="E48" s="5"/>
      <c r="F48" s="47">
        <f>SUM(F46:F47)</f>
        <v>30.012371000000002</v>
      </c>
      <c r="G48" s="47">
        <f>F48*(1+(F21+G21)/2*((G7/F7)^(1/(G$4-F$4))-1))^(G$4-F$4)</f>
        <v>31.454788166079389</v>
      </c>
      <c r="H48" s="47">
        <f>G48*(1+(G21+H21)/2*((H7/G7)^(1/(H$4-G$4))-1))^(H$4-G$4)</f>
        <v>31.977913504214641</v>
      </c>
      <c r="I48" s="47">
        <f>H48*(1+(H21+I21)/2*((I7/H7)^(1/(I$4-H$4))-1))^(I$4-H$4)</f>
        <v>32.327095388623128</v>
      </c>
      <c r="J48" s="47">
        <f>G48*(1+(G21+J21)/2*((J7/G7)^(1/(J$4-G$4))-1))^(J$4-G$4)</f>
        <v>30.414450894542192</v>
      </c>
      <c r="K48" s="47">
        <f>H48*(1+(H21+K21)/2*((K7/H7)^(1/(K$4-H$4))-1))^(K$4-H$4)</f>
        <v>30.922875620724984</v>
      </c>
      <c r="L48" s="47">
        <f>J48*(1+(J21+L21)/2*((L7/J7)^(1/(L$4-J$4))-1))^(L$4-J$4)</f>
        <v>35.840205321850341</v>
      </c>
      <c r="M48" s="47">
        <f>L48*(1+(L21+M21)/2*((M7/L7)^(1/(M$4-L$4))-1))^(M$4-L$4)</f>
        <v>44.853347442907982</v>
      </c>
      <c r="N48" s="47">
        <f>M48*(1+(M21+N21)/2*((N7/M7)^(1/(N$4-M$4))-1))^(N$4-M$4)</f>
        <v>57.999851093611568</v>
      </c>
      <c r="P48" s="47">
        <f>$G48</f>
        <v>31.454788166079389</v>
      </c>
      <c r="Q48" s="47">
        <f t="shared" si="66"/>
        <v>32.327095388623128</v>
      </c>
      <c r="R48" s="47">
        <f>P48*(1+(P21+R21)/2*((R7/P7)^(1/(R$4-P$4))-1))^(R$4-P$4)</f>
        <v>30.414450894542192</v>
      </c>
      <c r="S48" s="47">
        <f>Q48*(1+(Q21+S21)/2*((S7/Q7)^(1/(S$4-Q$4))-1))^(S$4-Q$4)</f>
        <v>30.925848505876019</v>
      </c>
      <c r="T48" s="313">
        <f>R48*(1+(R21+T21)/2*((T7/R7)^(1/(T$4-R$4))-1))^(T$4-R$4)</f>
        <v>35.840205321850341</v>
      </c>
      <c r="U48" s="313">
        <f>T48*(1+(T21+U21)/2*((U7/T7)^(1/(U$4-T$4))-1))^(U$4-T$4)</f>
        <v>44.853347442907982</v>
      </c>
      <c r="V48" s="313">
        <f>U48*(1+(U21+V21)/2*((V7/U7)^(1/(V$4-U$4))-1))^(V$4-U$4)</f>
        <v>57.999851093611568</v>
      </c>
      <c r="W48" s="186"/>
      <c r="X48" s="47">
        <f>P48</f>
        <v>31.454788166079389</v>
      </c>
      <c r="Y48" s="47">
        <f>Q48</f>
        <v>32.327095388623128</v>
      </c>
      <c r="Z48" s="47">
        <f>R48</f>
        <v>30.414450894542192</v>
      </c>
      <c r="AA48" s="47">
        <f>S48</f>
        <v>30.925848505876019</v>
      </c>
      <c r="AB48" s="313">
        <f>Z48*(1+(Z21+AB21)/2*((AB7/Z7)^(1/(AB$4-Z$4))-1))^(AB$4-Z$4)</f>
        <v>35.840205321850341</v>
      </c>
      <c r="AC48" s="313">
        <f>AB48*(1+(AB21+AC21)/2*((AC7/AB7)^(1/(AC$4-AB$4))-1))^(AC$4-AB$4)</f>
        <v>44.853347442907982</v>
      </c>
      <c r="AD48" s="313">
        <f>AC48*(1+(AC21+AD21)/2*((AD7/AC7)^(1/(AD$4-AC$4))-1))^(AD$4-AC$4)</f>
        <v>57.999851093611568</v>
      </c>
      <c r="AE48" s="186"/>
      <c r="AF48" s="186"/>
      <c r="AG48" s="186"/>
      <c r="AH48" s="186"/>
      <c r="AI48" s="186"/>
      <c r="AJ48" s="186"/>
      <c r="AK48" s="186"/>
      <c r="AL48" s="186"/>
      <c r="AM48" s="186"/>
      <c r="AN48" s="186"/>
      <c r="AO48" s="186"/>
      <c r="AP48" s="186"/>
      <c r="AQ48" s="186"/>
      <c r="AR48" s="186"/>
      <c r="AS48" s="186"/>
    </row>
    <row r="49" spans="1:45">
      <c r="A49" s="185" t="s">
        <v>16</v>
      </c>
      <c r="B49" s="186"/>
      <c r="C49" s="3"/>
      <c r="D49" s="5"/>
      <c r="E49" s="5"/>
      <c r="F49" s="47"/>
      <c r="G49" s="47"/>
      <c r="H49" s="47"/>
      <c r="I49" s="47"/>
      <c r="J49" s="47"/>
      <c r="K49" s="47"/>
      <c r="L49" s="47"/>
      <c r="M49" s="47"/>
      <c r="N49" s="47"/>
      <c r="P49" s="10"/>
      <c r="R49" s="186"/>
      <c r="T49" s="186"/>
      <c r="U49" s="186"/>
      <c r="V49" s="186"/>
      <c r="W49" s="186"/>
      <c r="X49" s="186"/>
      <c r="Z49" s="186"/>
      <c r="AB49" s="186"/>
      <c r="AC49" s="186"/>
      <c r="AD49" s="186"/>
      <c r="AE49" s="186"/>
      <c r="AF49" s="186"/>
      <c r="AG49" s="186"/>
      <c r="AH49" s="186"/>
      <c r="AI49" s="186"/>
      <c r="AJ49" s="186"/>
      <c r="AK49" s="186"/>
      <c r="AL49" s="186"/>
      <c r="AM49" s="186"/>
      <c r="AN49" s="186"/>
      <c r="AO49" s="186"/>
      <c r="AP49" s="186"/>
      <c r="AQ49" s="186"/>
      <c r="AR49" s="186"/>
      <c r="AS49" s="186"/>
    </row>
    <row r="50" spans="1:45" ht="15.75" thickBot="1">
      <c r="A50" s="185" t="s">
        <v>16</v>
      </c>
      <c r="B50" s="14" t="s">
        <v>208</v>
      </c>
      <c r="C50" s="14"/>
      <c r="D50" s="14"/>
      <c r="I50" s="283"/>
      <c r="K50" s="283"/>
    </row>
    <row r="51" spans="1:45">
      <c r="A51" s="185" t="s">
        <v>16</v>
      </c>
      <c r="B51" s="186" t="str">
        <f>B15</f>
        <v>TFHCV2</v>
      </c>
      <c r="C51" s="186" t="str">
        <f>C28</f>
        <v>Transport Freight - HCV2</v>
      </c>
      <c r="D51" s="185" t="s">
        <v>149</v>
      </c>
      <c r="F51" s="10">
        <f>F65*F94</f>
        <v>1.637614669131271</v>
      </c>
      <c r="G51" s="10">
        <f t="shared" ref="G51:H59" si="71">G28*G$60</f>
        <v>1.7163196641541021</v>
      </c>
      <c r="H51" s="10">
        <f t="shared" si="71"/>
        <v>1.74486381774745</v>
      </c>
      <c r="I51" s="10">
        <f t="shared" ref="I51" si="72">I28*I$60</f>
        <v>1.7639168067999393</v>
      </c>
      <c r="J51" s="10">
        <f t="shared" ref="J51:N59" si="73">J28*J$60</f>
        <v>1.6595540198565115</v>
      </c>
      <c r="K51" s="10">
        <f t="shared" si="73"/>
        <v>1.6872960396304906</v>
      </c>
      <c r="L51" s="10">
        <f t="shared" si="73"/>
        <v>1.9556084382583021</v>
      </c>
      <c r="M51" s="10">
        <f t="shared" si="73"/>
        <v>2.4474074284949929</v>
      </c>
      <c r="N51" s="10">
        <f t="shared" si="73"/>
        <v>3.1647418645573753</v>
      </c>
      <c r="P51" s="10">
        <f t="shared" ref="P51:V51" si="74">P28*P$60</f>
        <v>1.7163196641541021</v>
      </c>
      <c r="Q51" s="10">
        <f t="shared" si="74"/>
        <v>1.7639150720127121</v>
      </c>
      <c r="R51" s="10">
        <f t="shared" si="74"/>
        <v>1.6595540198565115</v>
      </c>
      <c r="S51" s="10">
        <f t="shared" si="74"/>
        <v>1.6874565944917681</v>
      </c>
      <c r="T51" s="312">
        <f t="shared" si="74"/>
        <v>1.9556084382583021</v>
      </c>
      <c r="U51" s="312">
        <f t="shared" si="74"/>
        <v>2.4474074284949929</v>
      </c>
      <c r="V51" s="312">
        <f t="shared" si="74"/>
        <v>3.1647418645573753</v>
      </c>
      <c r="W51" s="10"/>
      <c r="X51" s="10">
        <f>P51</f>
        <v>1.7163196641541021</v>
      </c>
      <c r="Y51" s="10">
        <f t="shared" ref="Y51:AA51" si="75">Q51</f>
        <v>1.7639150720127121</v>
      </c>
      <c r="Z51" s="10">
        <f t="shared" si="75"/>
        <v>1.6595540198565115</v>
      </c>
      <c r="AA51" s="10">
        <f t="shared" si="75"/>
        <v>1.6874565944917681</v>
      </c>
      <c r="AB51" s="312">
        <f t="shared" ref="AB51:AD59" si="76">AB28*AB$60</f>
        <v>1.8578280163453871</v>
      </c>
      <c r="AC51" s="312">
        <f t="shared" si="76"/>
        <v>2.2087852042167313</v>
      </c>
      <c r="AD51" s="312">
        <f t="shared" si="76"/>
        <v>2.7133705561248793</v>
      </c>
      <c r="AE51" s="10"/>
      <c r="AF51" s="10"/>
      <c r="AG51" s="10"/>
      <c r="AH51" s="10"/>
      <c r="AI51" s="10"/>
      <c r="AJ51" s="10"/>
      <c r="AK51" s="10"/>
      <c r="AL51" s="10"/>
      <c r="AM51" s="10"/>
      <c r="AN51" s="10"/>
      <c r="AO51" s="10"/>
      <c r="AP51" s="10"/>
      <c r="AQ51" s="10"/>
      <c r="AR51" s="10"/>
      <c r="AS51" s="10"/>
    </row>
    <row r="52" spans="1:45">
      <c r="A52" s="185" t="s">
        <v>16</v>
      </c>
      <c r="B52" s="186" t="str">
        <f t="shared" ref="B52:B58" si="77">B16</f>
        <v>TFHCV3</v>
      </c>
      <c r="C52" s="186" t="str">
        <f t="shared" ref="C52:C58" si="78">C29</f>
        <v>Transport Freight - HCV3</v>
      </c>
      <c r="D52" s="185" t="s">
        <v>149</v>
      </c>
      <c r="F52" s="10">
        <f t="shared" ref="F52:F58" si="79">F66*F95</f>
        <v>13.576270721867905</v>
      </c>
      <c r="G52" s="10">
        <f t="shared" si="71"/>
        <v>14.22875652315842</v>
      </c>
      <c r="H52" s="10">
        <f t="shared" si="71"/>
        <v>14.465395314941743</v>
      </c>
      <c r="I52" s="10">
        <f t="shared" ref="I52" si="80">I29*I$60</f>
        <v>14.623349772918479</v>
      </c>
      <c r="J52" s="10">
        <f t="shared" si="73"/>
        <v>13.758153902644418</v>
      </c>
      <c r="K52" s="10">
        <f t="shared" si="73"/>
        <v>13.988142787039763</v>
      </c>
      <c r="L52" s="10">
        <f t="shared" si="73"/>
        <v>16.212525500793355</v>
      </c>
      <c r="M52" s="10">
        <f t="shared" si="73"/>
        <v>20.289672804155337</v>
      </c>
      <c r="N52" s="10">
        <f t="shared" si="73"/>
        <v>26.236570255475549</v>
      </c>
      <c r="P52" s="10">
        <f t="shared" ref="P52:P59" si="81">P29*P$60</f>
        <v>14.22875652315842</v>
      </c>
      <c r="Q52" s="10">
        <f t="shared" ref="Q52:V59" si="82">Q29*Q$60</f>
        <v>14.623335391060838</v>
      </c>
      <c r="R52" s="10">
        <f t="shared" si="82"/>
        <v>13.758153902644418</v>
      </c>
      <c r="S52" s="10">
        <f t="shared" si="82"/>
        <v>13.989473830479653</v>
      </c>
      <c r="T52" s="312">
        <f t="shared" si="82"/>
        <v>16.212525500793355</v>
      </c>
      <c r="U52" s="312">
        <f t="shared" si="82"/>
        <v>20.289672804155337</v>
      </c>
      <c r="V52" s="312">
        <f t="shared" si="82"/>
        <v>26.236570255475549</v>
      </c>
      <c r="W52" s="10"/>
      <c r="X52" s="10">
        <f t="shared" ref="X52:X59" si="83">P52</f>
        <v>14.22875652315842</v>
      </c>
      <c r="Y52" s="10">
        <f t="shared" ref="Y52:Y60" si="84">Q52</f>
        <v>14.623335391060838</v>
      </c>
      <c r="Z52" s="10">
        <f t="shared" ref="Z52:Z60" si="85">R52</f>
        <v>13.758153902644418</v>
      </c>
      <c r="AA52" s="10">
        <f t="shared" ref="AA52:AA60" si="86">S52</f>
        <v>13.989473830479653</v>
      </c>
      <c r="AB52" s="312">
        <f t="shared" si="76"/>
        <v>15.401899225753688</v>
      </c>
      <c r="AC52" s="312">
        <f t="shared" si="76"/>
        <v>18.311429705750189</v>
      </c>
      <c r="AD52" s="312">
        <f t="shared" si="76"/>
        <v>22.494579422788345</v>
      </c>
      <c r="AE52" s="10"/>
      <c r="AF52" s="10"/>
      <c r="AG52" s="10"/>
      <c r="AH52" s="10"/>
      <c r="AI52" s="10"/>
      <c r="AJ52" s="10"/>
      <c r="AK52" s="10"/>
      <c r="AL52" s="10"/>
      <c r="AM52" s="10"/>
      <c r="AN52" s="10"/>
      <c r="AO52" s="10"/>
      <c r="AP52" s="10"/>
      <c r="AQ52" s="10"/>
      <c r="AR52" s="10"/>
      <c r="AS52" s="10"/>
    </row>
    <row r="53" spans="1:45">
      <c r="A53" s="185" t="s">
        <v>16</v>
      </c>
      <c r="B53" s="186" t="str">
        <f t="shared" si="77"/>
        <v>TFHCV4</v>
      </c>
      <c r="C53" s="186" t="str">
        <f t="shared" si="78"/>
        <v>Transport Freight - HCV4</v>
      </c>
      <c r="D53" s="185" t="s">
        <v>149</v>
      </c>
      <c r="F53" s="10">
        <f t="shared" si="79"/>
        <v>4.515932780515814</v>
      </c>
      <c r="G53" s="10">
        <f t="shared" si="71"/>
        <v>4.7329719129281322</v>
      </c>
      <c r="H53" s="10">
        <f t="shared" si="71"/>
        <v>4.8116860825884835</v>
      </c>
      <c r="I53" s="10">
        <f t="shared" ref="I53" si="87">I30*I$60</f>
        <v>4.864227147010304</v>
      </c>
      <c r="J53" s="10">
        <f t="shared" si="73"/>
        <v>4.5764333579660059</v>
      </c>
      <c r="K53" s="10">
        <f t="shared" si="73"/>
        <v>4.6529355405957507</v>
      </c>
      <c r="L53" s="10">
        <f t="shared" si="73"/>
        <v>5.3928414410631289</v>
      </c>
      <c r="M53" s="10">
        <f t="shared" si="73"/>
        <v>6.7490403218490576</v>
      </c>
      <c r="N53" s="10">
        <f t="shared" si="73"/>
        <v>8.7271821616051746</v>
      </c>
      <c r="P53" s="10">
        <f t="shared" si="81"/>
        <v>4.7329719129281322</v>
      </c>
      <c r="Q53" s="10">
        <f t="shared" si="82"/>
        <v>4.8642223631117147</v>
      </c>
      <c r="R53" s="10">
        <f t="shared" si="82"/>
        <v>4.5764333579660059</v>
      </c>
      <c r="S53" s="10">
        <f t="shared" si="82"/>
        <v>4.6533782912469155</v>
      </c>
      <c r="T53" s="312">
        <f t="shared" si="82"/>
        <v>5.3928414410631289</v>
      </c>
      <c r="U53" s="312">
        <f t="shared" si="82"/>
        <v>6.7490403218490576</v>
      </c>
      <c r="V53" s="312">
        <f t="shared" si="82"/>
        <v>8.7271821616051746</v>
      </c>
      <c r="W53" s="10"/>
      <c r="X53" s="10">
        <f t="shared" si="83"/>
        <v>4.7329719129281322</v>
      </c>
      <c r="Y53" s="10">
        <f t="shared" si="84"/>
        <v>4.8642223631117147</v>
      </c>
      <c r="Z53" s="10">
        <f t="shared" si="85"/>
        <v>4.5764333579660059</v>
      </c>
      <c r="AA53" s="10">
        <f t="shared" si="86"/>
        <v>4.6533782912469155</v>
      </c>
      <c r="AB53" s="312">
        <f t="shared" si="76"/>
        <v>5.1231993690099724</v>
      </c>
      <c r="AC53" s="312">
        <f t="shared" si="76"/>
        <v>6.0910088904687738</v>
      </c>
      <c r="AD53" s="312">
        <f t="shared" si="76"/>
        <v>7.4824678058062357</v>
      </c>
      <c r="AE53" s="10"/>
      <c r="AF53" s="10"/>
      <c r="AG53" s="10"/>
      <c r="AH53" s="10"/>
      <c r="AI53" s="10"/>
      <c r="AJ53" s="10"/>
      <c r="AK53" s="10"/>
      <c r="AL53" s="10"/>
      <c r="AM53" s="10"/>
      <c r="AN53" s="10"/>
      <c r="AO53" s="10"/>
      <c r="AP53" s="10"/>
      <c r="AQ53" s="10"/>
      <c r="AR53" s="10"/>
      <c r="AS53" s="10"/>
    </row>
    <row r="54" spans="1:45">
      <c r="A54" s="185" t="s">
        <v>16</v>
      </c>
      <c r="B54" s="186" t="str">
        <f t="shared" si="77"/>
        <v>TFHCV5</v>
      </c>
      <c r="C54" s="186" t="str">
        <f t="shared" si="78"/>
        <v>Transport Freight - HCV5</v>
      </c>
      <c r="D54" s="185" t="s">
        <v>149</v>
      </c>
      <c r="F54" s="10">
        <f t="shared" si="79"/>
        <v>2.9750185434856067</v>
      </c>
      <c r="G54" s="10">
        <f t="shared" si="71"/>
        <v>3.1180001765104728</v>
      </c>
      <c r="H54" s="10">
        <f t="shared" si="71"/>
        <v>3.1698557123999747</v>
      </c>
      <c r="I54" s="10">
        <f t="shared" ref="I54" si="88">I31*I$60</f>
        <v>3.2044688584644594</v>
      </c>
      <c r="J54" s="10">
        <f t="shared" si="73"/>
        <v>3.0148752793038378</v>
      </c>
      <c r="K54" s="10">
        <f t="shared" si="73"/>
        <v>3.0652735963298534</v>
      </c>
      <c r="L54" s="10">
        <f t="shared" si="73"/>
        <v>3.552710828305977</v>
      </c>
      <c r="M54" s="10">
        <f t="shared" si="73"/>
        <v>4.4461512347709542</v>
      </c>
      <c r="N54" s="10">
        <f t="shared" si="73"/>
        <v>5.7493169241076743</v>
      </c>
      <c r="P54" s="10">
        <f t="shared" si="81"/>
        <v>3.1180001765104728</v>
      </c>
      <c r="Q54" s="10">
        <f t="shared" si="82"/>
        <v>3.2044657069146676</v>
      </c>
      <c r="R54" s="10">
        <f t="shared" si="82"/>
        <v>3.0148752793038378</v>
      </c>
      <c r="S54" s="10">
        <f t="shared" si="82"/>
        <v>3.0655652728142861</v>
      </c>
      <c r="T54" s="312">
        <f t="shared" si="82"/>
        <v>3.552710828305977</v>
      </c>
      <c r="U54" s="312">
        <f t="shared" si="82"/>
        <v>4.4461512347709542</v>
      </c>
      <c r="V54" s="312">
        <f t="shared" si="82"/>
        <v>5.7493169241076743</v>
      </c>
      <c r="W54" s="10"/>
      <c r="X54" s="10">
        <f t="shared" si="83"/>
        <v>3.1180001765104728</v>
      </c>
      <c r="Y54" s="10">
        <f t="shared" si="84"/>
        <v>3.2044657069146676</v>
      </c>
      <c r="Z54" s="10">
        <f t="shared" si="85"/>
        <v>3.0148752793038378</v>
      </c>
      <c r="AA54" s="10">
        <f t="shared" si="86"/>
        <v>3.0655652728142861</v>
      </c>
      <c r="AB54" s="312">
        <f t="shared" si="76"/>
        <v>3.3750752868906782</v>
      </c>
      <c r="AC54" s="312">
        <f t="shared" si="76"/>
        <v>4.0126514893807856</v>
      </c>
      <c r="AD54" s="312">
        <f t="shared" si="76"/>
        <v>4.9293205978068171</v>
      </c>
      <c r="AE54" s="10"/>
      <c r="AF54" s="10"/>
      <c r="AG54" s="10"/>
      <c r="AH54" s="10"/>
      <c r="AI54" s="10"/>
      <c r="AJ54" s="10"/>
      <c r="AK54" s="10"/>
      <c r="AL54" s="10"/>
      <c r="AM54" s="10"/>
      <c r="AN54" s="10"/>
      <c r="AO54" s="10"/>
      <c r="AP54" s="10"/>
      <c r="AQ54" s="10"/>
      <c r="AR54" s="10"/>
      <c r="AS54" s="10"/>
    </row>
    <row r="55" spans="1:45">
      <c r="A55" s="185" t="s">
        <v>16</v>
      </c>
      <c r="B55" s="186" t="str">
        <f t="shared" si="77"/>
        <v>TFHCV6</v>
      </c>
      <c r="C55" s="186" t="str">
        <f t="shared" si="78"/>
        <v>Transport Freight - HCV6</v>
      </c>
      <c r="D55" s="185" t="s">
        <v>149</v>
      </c>
      <c r="F55" s="10">
        <f>F69*F98</f>
        <v>98.309314568087203</v>
      </c>
      <c r="G55" s="10">
        <f t="shared" si="71"/>
        <v>103.03413430720434</v>
      </c>
      <c r="H55" s="10">
        <f t="shared" si="71"/>
        <v>104.74769747171659</v>
      </c>
      <c r="I55" s="10">
        <f>I32*I$60</f>
        <v>105.89148686828882</v>
      </c>
      <c r="J55" s="10">
        <f t="shared" si="73"/>
        <v>99.626378082797544</v>
      </c>
      <c r="K55" s="10">
        <f t="shared" si="73"/>
        <v>101.29178753480312</v>
      </c>
      <c r="L55" s="10">
        <f t="shared" si="73"/>
        <v>117.39912248754413</v>
      </c>
      <c r="M55" s="10">
        <f t="shared" si="73"/>
        <v>146.92280870433564</v>
      </c>
      <c r="N55" s="10">
        <f t="shared" si="73"/>
        <v>189.98584303999428</v>
      </c>
      <c r="P55" s="10">
        <f t="shared" si="81"/>
        <v>103.03413430720434</v>
      </c>
      <c r="Q55" s="10">
        <f t="shared" si="82"/>
        <v>105.89138272550942</v>
      </c>
      <c r="R55" s="10">
        <f t="shared" si="82"/>
        <v>99.626378082797544</v>
      </c>
      <c r="S55" s="10">
        <f t="shared" si="82"/>
        <v>101.3014259672502</v>
      </c>
      <c r="T55" s="312">
        <f t="shared" si="82"/>
        <v>117.39912248754413</v>
      </c>
      <c r="U55" s="312">
        <f t="shared" si="82"/>
        <v>146.92280870433564</v>
      </c>
      <c r="V55" s="312">
        <f t="shared" si="82"/>
        <v>189.98584303999428</v>
      </c>
      <c r="W55" s="10"/>
      <c r="X55" s="10">
        <f t="shared" si="83"/>
        <v>103.03413430720434</v>
      </c>
      <c r="Y55" s="10">
        <f t="shared" si="84"/>
        <v>105.89138272550942</v>
      </c>
      <c r="Z55" s="10">
        <f t="shared" si="85"/>
        <v>99.626378082797544</v>
      </c>
      <c r="AA55" s="10">
        <f t="shared" si="86"/>
        <v>101.3014259672502</v>
      </c>
      <c r="AB55" s="312">
        <f t="shared" si="76"/>
        <v>111.52916636316692</v>
      </c>
      <c r="AC55" s="312">
        <f t="shared" si="76"/>
        <v>132.59783485566291</v>
      </c>
      <c r="AD55" s="312">
        <f t="shared" si="76"/>
        <v>162.88911217641507</v>
      </c>
      <c r="AE55" s="10"/>
      <c r="AF55" s="10"/>
      <c r="AG55" s="10"/>
      <c r="AH55" s="10"/>
      <c r="AI55" s="10"/>
      <c r="AJ55" s="10"/>
      <c r="AK55" s="10"/>
      <c r="AL55" s="10"/>
      <c r="AM55" s="10"/>
      <c r="AN55" s="10"/>
      <c r="AO55" s="10"/>
      <c r="AP55" s="10"/>
      <c r="AQ55" s="10"/>
      <c r="AR55" s="10"/>
      <c r="AS55" s="10"/>
    </row>
    <row r="56" spans="1:45">
      <c r="A56" s="185" t="s">
        <v>16</v>
      </c>
      <c r="B56" s="186" t="str">
        <f t="shared" si="77"/>
        <v>TFHCV7</v>
      </c>
      <c r="C56" s="186" t="str">
        <f t="shared" si="78"/>
        <v>Transport Freight - HCV7</v>
      </c>
      <c r="D56" s="185" t="s">
        <v>149</v>
      </c>
      <c r="F56" s="10">
        <f t="shared" si="79"/>
        <v>28.003212301240232</v>
      </c>
      <c r="G56" s="10">
        <f t="shared" si="71"/>
        <v>29.349067786255869</v>
      </c>
      <c r="H56" s="10">
        <f t="shared" si="71"/>
        <v>29.837172838134627</v>
      </c>
      <c r="I56" s="10">
        <f t="shared" ref="I56" si="89">I33*I$60</f>
        <v>30.162978967908185</v>
      </c>
      <c r="J56" s="10">
        <f t="shared" si="73"/>
        <v>28.378375218189547</v>
      </c>
      <c r="K56" s="10">
        <f t="shared" si="73"/>
        <v>28.852763781042402</v>
      </c>
      <c r="L56" s="10">
        <f t="shared" si="73"/>
        <v>33.440906036641188</v>
      </c>
      <c r="M56" s="10">
        <f t="shared" si="73"/>
        <v>41.85066920787574</v>
      </c>
      <c r="N56" s="10">
        <f t="shared" si="73"/>
        <v>54.117088703679066</v>
      </c>
      <c r="P56" s="10">
        <f t="shared" si="81"/>
        <v>29.349067786255869</v>
      </c>
      <c r="Q56" s="10">
        <f t="shared" si="82"/>
        <v>30.162949303045053</v>
      </c>
      <c r="R56" s="10">
        <f t="shared" si="82"/>
        <v>28.378375218189547</v>
      </c>
      <c r="S56" s="10">
        <f t="shared" si="82"/>
        <v>28.855509269313302</v>
      </c>
      <c r="T56" s="312">
        <f t="shared" si="82"/>
        <v>33.440906036641188</v>
      </c>
      <c r="U56" s="312">
        <f t="shared" si="82"/>
        <v>41.85066920787574</v>
      </c>
      <c r="V56" s="312">
        <f t="shared" si="82"/>
        <v>54.117088703679066</v>
      </c>
      <c r="W56" s="10"/>
      <c r="X56" s="10">
        <f t="shared" si="83"/>
        <v>29.349067786255869</v>
      </c>
      <c r="Y56" s="10">
        <f t="shared" si="84"/>
        <v>30.162949303045053</v>
      </c>
      <c r="Z56" s="10">
        <f t="shared" si="85"/>
        <v>28.378375218189547</v>
      </c>
      <c r="AA56" s="10">
        <f t="shared" si="86"/>
        <v>28.855509269313302</v>
      </c>
      <c r="AB56" s="312">
        <f t="shared" si="76"/>
        <v>31.768860734809127</v>
      </c>
      <c r="AC56" s="312">
        <f t="shared" si="76"/>
        <v>37.77022896010785</v>
      </c>
      <c r="AD56" s="312">
        <f t="shared" si="76"/>
        <v>46.398638927316831</v>
      </c>
      <c r="AE56" s="10"/>
      <c r="AF56" s="10"/>
      <c r="AG56" s="10"/>
      <c r="AH56" s="10"/>
      <c r="AI56" s="10"/>
      <c r="AJ56" s="10"/>
      <c r="AK56" s="10"/>
      <c r="AL56" s="10"/>
      <c r="AM56" s="10"/>
      <c r="AN56" s="10"/>
      <c r="AO56" s="10"/>
      <c r="AP56" s="10"/>
      <c r="AQ56" s="10"/>
      <c r="AR56" s="10"/>
      <c r="AS56" s="10"/>
    </row>
    <row r="57" spans="1:45">
      <c r="A57" s="185" t="s">
        <v>16</v>
      </c>
      <c r="B57" s="186" t="str">
        <f t="shared" si="77"/>
        <v>TFHCV8</v>
      </c>
      <c r="C57" s="186" t="str">
        <f t="shared" si="78"/>
        <v>Transport Freight - HCV8</v>
      </c>
      <c r="D57" s="185" t="s">
        <v>149</v>
      </c>
      <c r="F57" s="10">
        <f t="shared" si="79"/>
        <v>1.0763192990282064</v>
      </c>
      <c r="G57" s="10">
        <f t="shared" si="71"/>
        <v>1.12804801559981</v>
      </c>
      <c r="H57" s="10">
        <f t="shared" si="71"/>
        <v>1.1468086092645235</v>
      </c>
      <c r="I57" s="10">
        <f t="shared" ref="I57" si="90">I34*I$60</f>
        <v>1.159331152087278</v>
      </c>
      <c r="J57" s="10">
        <f t="shared" si="73"/>
        <v>1.0907388978745283</v>
      </c>
      <c r="K57" s="10">
        <f t="shared" si="73"/>
        <v>1.1089722905276336</v>
      </c>
      <c r="L57" s="10">
        <f t="shared" si="73"/>
        <v>1.2853201324560779</v>
      </c>
      <c r="M57" s="10">
        <f t="shared" si="73"/>
        <v>1.6085541351870973</v>
      </c>
      <c r="N57" s="10">
        <f t="shared" si="73"/>
        <v>2.0800209044735705</v>
      </c>
      <c r="P57" s="10">
        <f t="shared" si="81"/>
        <v>1.12804801559981</v>
      </c>
      <c r="Q57" s="10">
        <f t="shared" si="82"/>
        <v>1.1593300119014898</v>
      </c>
      <c r="R57" s="10">
        <f t="shared" si="82"/>
        <v>1.0907388978745283</v>
      </c>
      <c r="S57" s="10">
        <f t="shared" si="82"/>
        <v>1.1090778149217437</v>
      </c>
      <c r="T57" s="312">
        <f t="shared" si="82"/>
        <v>1.2853201324560779</v>
      </c>
      <c r="U57" s="312">
        <f t="shared" si="82"/>
        <v>1.6085541351870973</v>
      </c>
      <c r="V57" s="312">
        <f t="shared" si="82"/>
        <v>2.0800209044735705</v>
      </c>
      <c r="W57" s="10"/>
      <c r="X57" s="10">
        <f t="shared" si="83"/>
        <v>1.12804801559981</v>
      </c>
      <c r="Y57" s="10">
        <f t="shared" si="84"/>
        <v>1.1593300119014898</v>
      </c>
      <c r="Z57" s="10">
        <f t="shared" si="85"/>
        <v>1.0907388978745283</v>
      </c>
      <c r="AA57" s="10">
        <f t="shared" si="86"/>
        <v>1.1090778149217437</v>
      </c>
      <c r="AB57" s="312">
        <f t="shared" si="76"/>
        <v>1.2210541258332739</v>
      </c>
      <c r="AC57" s="312">
        <f t="shared" si="76"/>
        <v>1.4517201070063552</v>
      </c>
      <c r="AD57" s="312">
        <f t="shared" si="76"/>
        <v>1.7833579229730274</v>
      </c>
      <c r="AE57" s="10"/>
      <c r="AF57" s="10"/>
      <c r="AG57" s="10"/>
      <c r="AH57" s="10"/>
      <c r="AI57" s="10"/>
      <c r="AJ57" s="10"/>
      <c r="AK57" s="10"/>
      <c r="AL57" s="10"/>
      <c r="AM57" s="10"/>
      <c r="AN57" s="10"/>
      <c r="AO57" s="10"/>
      <c r="AP57" s="10"/>
      <c r="AQ57" s="10"/>
      <c r="AR57" s="10"/>
      <c r="AS57" s="10"/>
    </row>
    <row r="58" spans="1:45">
      <c r="A58" s="185" t="s">
        <v>16</v>
      </c>
      <c r="B58" s="186" t="str">
        <f t="shared" si="77"/>
        <v>TFHCV9</v>
      </c>
      <c r="C58" s="186" t="str">
        <f t="shared" si="78"/>
        <v>Transport Freight - HCV9</v>
      </c>
      <c r="D58" s="185" t="s">
        <v>149</v>
      </c>
      <c r="F58" s="10">
        <f t="shared" si="79"/>
        <v>0.87560973396075781</v>
      </c>
      <c r="G58" s="10">
        <f t="shared" si="71"/>
        <v>0.91769219759054577</v>
      </c>
      <c r="H58" s="10">
        <f t="shared" si="71"/>
        <v>0.93295435858917986</v>
      </c>
      <c r="I58" s="10">
        <f t="shared" ref="I58" si="91">I35*I$60</f>
        <v>0.94314172622204151</v>
      </c>
      <c r="J58" s="10">
        <f t="shared" si="73"/>
        <v>0.88734039894191019</v>
      </c>
      <c r="K58" s="10">
        <f t="shared" si="73"/>
        <v>0.90217367016969785</v>
      </c>
      <c r="L58" s="10">
        <f t="shared" si="73"/>
        <v>1.0456365692322114</v>
      </c>
      <c r="M58" s="10">
        <f t="shared" si="73"/>
        <v>1.3085946332508718</v>
      </c>
      <c r="N58" s="10">
        <f t="shared" si="73"/>
        <v>1.6921433560127854</v>
      </c>
      <c r="P58" s="10">
        <f t="shared" si="81"/>
        <v>0.91769219759054577</v>
      </c>
      <c r="Q58" s="10">
        <f t="shared" si="82"/>
        <v>0.94314079865549549</v>
      </c>
      <c r="R58" s="10">
        <f t="shared" si="82"/>
        <v>0.88734039894191019</v>
      </c>
      <c r="S58" s="10">
        <f t="shared" si="82"/>
        <v>0.9022595166157632</v>
      </c>
      <c r="T58" s="312">
        <f t="shared" si="82"/>
        <v>1.0456365692322114</v>
      </c>
      <c r="U58" s="312">
        <f t="shared" si="82"/>
        <v>1.3085946332508718</v>
      </c>
      <c r="V58" s="312">
        <f t="shared" si="82"/>
        <v>1.6921433560127854</v>
      </c>
      <c r="W58" s="10"/>
      <c r="X58" s="10">
        <f t="shared" si="83"/>
        <v>0.91769219759054577</v>
      </c>
      <c r="Y58" s="10">
        <f t="shared" si="84"/>
        <v>0.94314079865549549</v>
      </c>
      <c r="Z58" s="10">
        <f t="shared" si="85"/>
        <v>0.88734039894191019</v>
      </c>
      <c r="AA58" s="10">
        <f t="shared" si="86"/>
        <v>0.9022595166157632</v>
      </c>
      <c r="AB58" s="312">
        <f t="shared" si="76"/>
        <v>0.99335474077060071</v>
      </c>
      <c r="AC58" s="312">
        <f t="shared" si="76"/>
        <v>1.1810066565089117</v>
      </c>
      <c r="AD58" s="312">
        <f t="shared" si="76"/>
        <v>1.4508014098614619</v>
      </c>
      <c r="AE58" s="10"/>
      <c r="AF58" s="10"/>
      <c r="AG58" s="10"/>
      <c r="AH58" s="10"/>
      <c r="AI58" s="10"/>
      <c r="AJ58" s="10"/>
      <c r="AK58" s="10"/>
      <c r="AL58" s="10"/>
      <c r="AM58" s="10"/>
      <c r="AN58" s="10"/>
      <c r="AO58" s="10"/>
      <c r="AP58" s="10"/>
      <c r="AQ58" s="10"/>
      <c r="AR58" s="10"/>
      <c r="AS58" s="10"/>
    </row>
    <row r="59" spans="1:45">
      <c r="A59" s="185" t="s">
        <v>16</v>
      </c>
      <c r="B59" s="186" t="str">
        <f>B23</f>
        <v>TFRCO</v>
      </c>
      <c r="C59" s="186" t="str">
        <f>C36</f>
        <v>Transport Freight - Rail Corridor</v>
      </c>
      <c r="D59" s="185" t="s">
        <v>149</v>
      </c>
      <c r="F59" s="10">
        <f>F102</f>
        <v>22</v>
      </c>
      <c r="G59" s="10">
        <f t="shared" si="71"/>
        <v>23.057336578097942</v>
      </c>
      <c r="H59" s="10">
        <f t="shared" si="71"/>
        <v>23.440803697006192</v>
      </c>
      <c r="I59" s="10">
        <f t="shared" ref="I59" si="92">I36*I$60</f>
        <v>23.696764862386523</v>
      </c>
      <c r="J59" s="10">
        <f t="shared" si="73"/>
        <v>22.294737049596232</v>
      </c>
      <c r="K59" s="10">
        <f t="shared" si="73"/>
        <v>22.667428163404651</v>
      </c>
      <c r="L59" s="10">
        <f t="shared" si="73"/>
        <v>26.271983545742081</v>
      </c>
      <c r="M59" s="10">
        <f t="shared" si="73"/>
        <v>32.878896630458648</v>
      </c>
      <c r="N59" s="10">
        <f t="shared" si="73"/>
        <v>42.515692081090613</v>
      </c>
      <c r="P59" s="10">
        <f t="shared" si="81"/>
        <v>23.057336578097942</v>
      </c>
      <c r="Q59" s="10">
        <f t="shared" si="82"/>
        <v>23.696741556953494</v>
      </c>
      <c r="R59" s="10">
        <f t="shared" si="82"/>
        <v>22.294737049596232</v>
      </c>
      <c r="S59" s="10">
        <f t="shared" si="82"/>
        <v>22.669585085307396</v>
      </c>
      <c r="T59" s="312">
        <f t="shared" si="82"/>
        <v>26.271983545742081</v>
      </c>
      <c r="U59" s="312">
        <f t="shared" si="82"/>
        <v>32.878896630458648</v>
      </c>
      <c r="V59" s="312">
        <f t="shared" si="82"/>
        <v>42.515692081090613</v>
      </c>
      <c r="W59" s="10"/>
      <c r="X59" s="10">
        <f t="shared" si="83"/>
        <v>23.057336578097942</v>
      </c>
      <c r="Y59" s="10">
        <f t="shared" si="84"/>
        <v>23.696741556953494</v>
      </c>
      <c r="Z59" s="10">
        <f t="shared" si="85"/>
        <v>22.294737049596232</v>
      </c>
      <c r="AA59" s="10">
        <f t="shared" si="86"/>
        <v>22.669585085307396</v>
      </c>
      <c r="AB59" s="312">
        <f t="shared" si="76"/>
        <v>35.2862171174568</v>
      </c>
      <c r="AC59" s="312">
        <f t="shared" si="76"/>
        <v>54.877129231275859</v>
      </c>
      <c r="AD59" s="312">
        <f t="shared" si="76"/>
        <v>84.126950471903442</v>
      </c>
      <c r="AE59" s="10"/>
      <c r="AF59" s="10"/>
      <c r="AG59" s="10"/>
      <c r="AH59" s="10"/>
      <c r="AI59" s="10"/>
      <c r="AJ59" s="10"/>
      <c r="AK59" s="10"/>
      <c r="AL59" s="10"/>
      <c r="AM59" s="10"/>
      <c r="AN59" s="10"/>
      <c r="AO59" s="10"/>
      <c r="AP59" s="10"/>
      <c r="AQ59" s="10"/>
      <c r="AR59" s="10"/>
      <c r="AS59" s="10"/>
    </row>
    <row r="60" spans="1:45">
      <c r="A60" s="185" t="s">
        <v>16</v>
      </c>
      <c r="B60" s="186"/>
      <c r="C60" s="3" t="s">
        <v>5</v>
      </c>
      <c r="D60" s="5" t="s">
        <v>149</v>
      </c>
      <c r="E60" s="5"/>
      <c r="F60" s="47">
        <f>SUM(F51:F59)</f>
        <v>172.96929261731697</v>
      </c>
      <c r="G60" s="47">
        <f>F60*(1+(F22+G22)/2*((G7/F7)^(1/(G$4-F$4))-1))^(G$4-F$4)</f>
        <v>181.28232716149964</v>
      </c>
      <c r="H60" s="47">
        <f>G60*(1+(G22+H22)/2*((H7/G7)^(1/(H$4-G$4))-1))^(H$4-G$4)</f>
        <v>184.29723790238876</v>
      </c>
      <c r="I60" s="47">
        <f>H60*(1+(H22+I22)/2*((I7/H7)^(1/(I$4-H$4))-1))^(I$4-H$4)</f>
        <v>186.30966616208602</v>
      </c>
      <c r="J60" s="47">
        <f>G60*(1+(G22+J22)/2*((J7/G7)^(1/(J$4-G$4))-1))^(J$4-G$4)</f>
        <v>175.28658620717053</v>
      </c>
      <c r="K60" s="47">
        <f>H60*(1+(H22+K22)/2*((K7/H7)^(1/(K$4-H$4))-1))^(K$4-H$4)</f>
        <v>178.21677340354336</v>
      </c>
      <c r="L60" s="47">
        <f>J60*(1+(J22+L22)/2*((L7/J7)^(1/(L$4-J$4))-1))^(L$4-J$4)</f>
        <v>206.55665498003646</v>
      </c>
      <c r="M60" s="47">
        <f>L60*(1+(L22+M22)/2*((M7/L7)^(1/(M$4-L$4))-1))^(M$4-L$4)</f>
        <v>258.50179510037833</v>
      </c>
      <c r="N60" s="47">
        <f>M60*(1+(M22+N22)/2*((N7/M7)^(1/(N$4-M$4))-1))^(N$4-M$4)</f>
        <v>334.26859929099606</v>
      </c>
      <c r="P60" s="78">
        <f>$G60</f>
        <v>181.28232716149964</v>
      </c>
      <c r="Q60" s="47">
        <f>P60*(1+(P22+Q22)/2*((Q7/P7)^(1/(Q$4-P$4))-1))^(Q$4-P$4)</f>
        <v>186.30948292916489</v>
      </c>
      <c r="R60" s="47">
        <f>P60*(1+(P22+R22)/2*((R7/P7)^(1/(R$4-P$4))-1))^(R$4-P$4)</f>
        <v>175.28658620717053</v>
      </c>
      <c r="S60" s="47">
        <f>Q60*(1+(Q22+S22)/2*((S7/Q7)^(1/(S$4-Q$4))-1))^(S$4-Q$4)</f>
        <v>178.23373164244103</v>
      </c>
      <c r="T60" s="313">
        <f>R60*(1+(R22+T22)/2*((T7/R7)^(1/(T$4-R$4))-1))^(T$4-R$4)</f>
        <v>206.55665498003646</v>
      </c>
      <c r="U60" s="313">
        <f>T60*(1+(T22+U22)/2*((U7/T7)^(1/(U$4-T$4))-1))^(U$4-T$4)</f>
        <v>258.50179510037833</v>
      </c>
      <c r="V60" s="313">
        <f>U60*(1+(U22+V22)/2*((V7/U7)^(1/(V$4-U$4))-1))^(V$4-U$4)</f>
        <v>334.26859929099606</v>
      </c>
      <c r="X60" s="78">
        <f>P60</f>
        <v>181.28232716149964</v>
      </c>
      <c r="Y60" s="78">
        <f t="shared" si="84"/>
        <v>186.30948292916489</v>
      </c>
      <c r="Z60" s="78">
        <f t="shared" si="85"/>
        <v>175.28658620717053</v>
      </c>
      <c r="AA60" s="78">
        <f t="shared" si="86"/>
        <v>178.23373164244103</v>
      </c>
      <c r="AB60" s="313">
        <f>Z60*(1+(Z22+AB22)/2*((AB7/Z7)^(1/(AB$4-Z$4))-1))^(AB$4-Z$4)</f>
        <v>206.55665498003646</v>
      </c>
      <c r="AC60" s="313">
        <f>AB60*(1+(AB22+AC22)/2*((AC7/AB7)^(1/(AC$4-AB$4))-1))^(AC$4-AB$4)</f>
        <v>258.50179510037833</v>
      </c>
      <c r="AD60" s="313">
        <f>AC60*(1+(AC22+AD22)/2*((AD7/AC7)^(1/(AD$4-AC$4))-1))^(AD$4-AC$4)</f>
        <v>334.26859929099606</v>
      </c>
    </row>
    <row r="61" spans="1:45">
      <c r="A61" s="185" t="s">
        <v>16</v>
      </c>
      <c r="B61" s="186"/>
      <c r="C61" s="3"/>
      <c r="D61" s="5"/>
      <c r="E61" s="5"/>
      <c r="F61" s="47"/>
      <c r="G61" s="10"/>
      <c r="H61" s="10"/>
      <c r="J61" s="10"/>
      <c r="L61" s="10"/>
      <c r="M61" s="10"/>
      <c r="N61" s="10"/>
    </row>
    <row r="62" spans="1:45" ht="15.75" thickBot="1">
      <c r="A62" s="185" t="s">
        <v>16</v>
      </c>
      <c r="B62" s="14" t="s">
        <v>148</v>
      </c>
      <c r="C62" s="14"/>
      <c r="D62" s="14"/>
    </row>
    <row r="63" spans="1:45">
      <c r="A63" s="185" t="s">
        <v>16</v>
      </c>
      <c r="B63" s="185" t="s">
        <v>151</v>
      </c>
      <c r="C63" s="185" t="s">
        <v>152</v>
      </c>
      <c r="D63" s="185" t="s">
        <v>147</v>
      </c>
      <c r="F63" s="49">
        <f>[2]Calib_1011!$AC$36</f>
        <v>0.39784000000000003</v>
      </c>
      <c r="G63" s="61">
        <f t="shared" ref="G63:I72" si="93">F63</f>
        <v>0.39784000000000003</v>
      </c>
      <c r="H63" s="61">
        <f t="shared" si="93"/>
        <v>0.39784000000000003</v>
      </c>
      <c r="I63" s="61">
        <f t="shared" si="93"/>
        <v>0.39784000000000003</v>
      </c>
      <c r="J63" s="61">
        <f t="shared" ref="J63:J72" si="94">IF($D$4,Z63,R63)</f>
        <v>0.39784000000000003</v>
      </c>
      <c r="K63" s="61">
        <f t="shared" ref="K63:K72" si="95">IF($D$4,AB63,T63)</f>
        <v>0.39784000000000003</v>
      </c>
      <c r="L63" s="61">
        <f t="shared" ref="L63:L72" si="96">IF($D$4,AB63,T63)</f>
        <v>0.39784000000000003</v>
      </c>
      <c r="M63" s="61">
        <f t="shared" ref="M63:M72" si="97">IF($D$4,AC63,U63)</f>
        <v>0.39784000000000003</v>
      </c>
      <c r="N63" s="61">
        <f t="shared" ref="N63:N72" si="98">IF($D$4,AD63,V63)</f>
        <v>0.39784000000000003</v>
      </c>
      <c r="O63" s="186"/>
      <c r="P63" s="61">
        <f>$G63</f>
        <v>0.39784000000000003</v>
      </c>
      <c r="Q63" s="61">
        <f>P63</f>
        <v>0.39784000000000003</v>
      </c>
      <c r="R63" s="61">
        <f t="shared" ref="R63:S63" si="99">Q63</f>
        <v>0.39784000000000003</v>
      </c>
      <c r="S63" s="61">
        <f t="shared" si="99"/>
        <v>0.39784000000000003</v>
      </c>
      <c r="T63" s="46">
        <f t="shared" ref="T63:T72" si="100">R63</f>
        <v>0.39784000000000003</v>
      </c>
      <c r="U63" s="46">
        <f t="shared" ref="U63:U72" si="101">T63</f>
        <v>0.39784000000000003</v>
      </c>
      <c r="V63" s="46">
        <f>T63</f>
        <v>0.39784000000000003</v>
      </c>
      <c r="W63" s="233"/>
      <c r="X63" s="61">
        <f>P63</f>
        <v>0.39784000000000003</v>
      </c>
      <c r="Y63" s="61">
        <f t="shared" ref="Y63:AA63" si="102">Q63</f>
        <v>0.39784000000000003</v>
      </c>
      <c r="Z63" s="61">
        <f t="shared" si="102"/>
        <v>0.39784000000000003</v>
      </c>
      <c r="AA63" s="61">
        <f t="shared" si="102"/>
        <v>0.39784000000000003</v>
      </c>
      <c r="AB63" s="46">
        <f t="shared" ref="AB63:AB72" si="103">Z63</f>
        <v>0.39784000000000003</v>
      </c>
      <c r="AC63" s="46">
        <f t="shared" ref="AC63:AC72" si="104">AB63</f>
        <v>0.39784000000000003</v>
      </c>
      <c r="AD63" s="46">
        <f>AB63</f>
        <v>0.39784000000000003</v>
      </c>
      <c r="AE63" s="233"/>
      <c r="AF63" s="233"/>
      <c r="AG63" s="233"/>
      <c r="AH63" s="233"/>
      <c r="AI63" s="233"/>
      <c r="AJ63" s="233"/>
      <c r="AK63" s="233"/>
      <c r="AL63" s="233"/>
      <c r="AM63" s="233"/>
      <c r="AN63" s="233"/>
      <c r="AO63" s="233"/>
      <c r="AP63" s="233"/>
      <c r="AQ63" s="233"/>
      <c r="AR63" s="233"/>
      <c r="AS63" s="233"/>
    </row>
    <row r="64" spans="1:45">
      <c r="A64" s="185" t="s">
        <v>16</v>
      </c>
      <c r="B64" s="185" t="s">
        <v>412</v>
      </c>
      <c r="C64" s="185" t="s">
        <v>421</v>
      </c>
      <c r="D64" s="185" t="s">
        <v>147</v>
      </c>
      <c r="F64" s="49">
        <f>[2]Calib_1011!$AC$35</f>
        <v>1.4841</v>
      </c>
      <c r="G64" s="61">
        <f t="shared" si="93"/>
        <v>1.4841</v>
      </c>
      <c r="H64" s="61">
        <f t="shared" si="93"/>
        <v>1.4841</v>
      </c>
      <c r="I64" s="61">
        <f t="shared" si="93"/>
        <v>1.4841</v>
      </c>
      <c r="J64" s="61">
        <f t="shared" si="94"/>
        <v>1.4841</v>
      </c>
      <c r="K64" s="61">
        <f t="shared" si="95"/>
        <v>1.4841</v>
      </c>
      <c r="L64" s="61">
        <f t="shared" si="96"/>
        <v>1.4841</v>
      </c>
      <c r="M64" s="61">
        <f t="shared" si="97"/>
        <v>1.4841</v>
      </c>
      <c r="N64" s="61">
        <f t="shared" si="98"/>
        <v>1.4841</v>
      </c>
      <c r="O64" s="186"/>
      <c r="P64" s="61">
        <f t="shared" ref="P64:P70" si="105">$G64</f>
        <v>1.4841</v>
      </c>
      <c r="Q64" s="61">
        <f t="shared" ref="Q64:Q71" si="106">P64</f>
        <v>1.4841</v>
      </c>
      <c r="R64" s="61">
        <f t="shared" ref="R64:S64" si="107">Q64</f>
        <v>1.4841</v>
      </c>
      <c r="S64" s="61">
        <f t="shared" si="107"/>
        <v>1.4841</v>
      </c>
      <c r="T64" s="46">
        <f t="shared" si="100"/>
        <v>1.4841</v>
      </c>
      <c r="U64" s="46">
        <f t="shared" si="101"/>
        <v>1.4841</v>
      </c>
      <c r="V64" s="46">
        <f t="shared" ref="V64:V70" si="108">T64</f>
        <v>1.4841</v>
      </c>
      <c r="W64" s="233"/>
      <c r="X64" s="61">
        <f t="shared" ref="X64:X72" si="109">P64</f>
        <v>1.4841</v>
      </c>
      <c r="Y64" s="61">
        <f t="shared" ref="Y64:Y72" si="110">Q64</f>
        <v>1.4841</v>
      </c>
      <c r="Z64" s="61">
        <f t="shared" ref="Z64:Z72" si="111">R64</f>
        <v>1.4841</v>
      </c>
      <c r="AA64" s="61">
        <f t="shared" ref="AA64:AA72" si="112">S64</f>
        <v>1.4841</v>
      </c>
      <c r="AB64" s="46">
        <f t="shared" si="103"/>
        <v>1.4841</v>
      </c>
      <c r="AC64" s="46">
        <f t="shared" si="104"/>
        <v>1.4841</v>
      </c>
      <c r="AD64" s="46">
        <f t="shared" ref="AD64:AD70" si="113">AB64</f>
        <v>1.4841</v>
      </c>
      <c r="AE64" s="233"/>
      <c r="AF64" s="233"/>
      <c r="AG64" s="233"/>
      <c r="AH64" s="233"/>
      <c r="AI64" s="233"/>
      <c r="AJ64" s="233"/>
      <c r="AK64" s="233"/>
      <c r="AL64" s="233"/>
      <c r="AM64" s="233"/>
      <c r="AN64" s="233"/>
      <c r="AO64" s="233"/>
      <c r="AP64" s="233"/>
      <c r="AQ64" s="233"/>
      <c r="AR64" s="233"/>
      <c r="AS64" s="233"/>
    </row>
    <row r="65" spans="1:46">
      <c r="A65" s="185" t="s">
        <v>16</v>
      </c>
      <c r="B65" s="185" t="s">
        <v>413</v>
      </c>
      <c r="C65" s="185" t="s">
        <v>422</v>
      </c>
      <c r="D65" s="185" t="s">
        <v>147</v>
      </c>
      <c r="F65" s="49">
        <f>[2]Calib_1011!$AC27</f>
        <v>2.5009999999999999</v>
      </c>
      <c r="G65" s="61">
        <f t="shared" si="93"/>
        <v>2.5009999999999999</v>
      </c>
      <c r="H65" s="61">
        <f t="shared" si="93"/>
        <v>2.5009999999999999</v>
      </c>
      <c r="I65" s="61">
        <f t="shared" si="93"/>
        <v>2.5009999999999999</v>
      </c>
      <c r="J65" s="61">
        <f t="shared" si="94"/>
        <v>2.5009999999999999</v>
      </c>
      <c r="K65" s="61">
        <f t="shared" si="95"/>
        <v>2.5009999999999999</v>
      </c>
      <c r="L65" s="61">
        <f t="shared" si="96"/>
        <v>2.5009999999999999</v>
      </c>
      <c r="M65" s="61">
        <f t="shared" si="97"/>
        <v>2.5009999999999999</v>
      </c>
      <c r="N65" s="61">
        <f t="shared" si="98"/>
        <v>2.5009999999999999</v>
      </c>
      <c r="O65" s="186"/>
      <c r="P65" s="61">
        <f>$G65</f>
        <v>2.5009999999999999</v>
      </c>
      <c r="Q65" s="61">
        <f t="shared" si="106"/>
        <v>2.5009999999999999</v>
      </c>
      <c r="R65" s="61">
        <f t="shared" ref="R65:S65" si="114">Q65</f>
        <v>2.5009999999999999</v>
      </c>
      <c r="S65" s="61">
        <f t="shared" si="114"/>
        <v>2.5009999999999999</v>
      </c>
      <c r="T65" s="46">
        <f t="shared" si="100"/>
        <v>2.5009999999999999</v>
      </c>
      <c r="U65" s="46">
        <f t="shared" si="101"/>
        <v>2.5009999999999999</v>
      </c>
      <c r="V65" s="46">
        <f t="shared" si="108"/>
        <v>2.5009999999999999</v>
      </c>
      <c r="W65" s="233"/>
      <c r="X65" s="61">
        <f t="shared" si="109"/>
        <v>2.5009999999999999</v>
      </c>
      <c r="Y65" s="61">
        <f t="shared" si="110"/>
        <v>2.5009999999999999</v>
      </c>
      <c r="Z65" s="61">
        <f t="shared" si="111"/>
        <v>2.5009999999999999</v>
      </c>
      <c r="AA65" s="61">
        <f t="shared" si="112"/>
        <v>2.5009999999999999</v>
      </c>
      <c r="AB65" s="46">
        <f t="shared" si="103"/>
        <v>2.5009999999999999</v>
      </c>
      <c r="AC65" s="46">
        <f t="shared" si="104"/>
        <v>2.5009999999999999</v>
      </c>
      <c r="AD65" s="46">
        <f t="shared" si="113"/>
        <v>2.5009999999999999</v>
      </c>
      <c r="AE65" s="233"/>
      <c r="AF65" s="233"/>
      <c r="AG65" s="233"/>
      <c r="AH65" s="233"/>
      <c r="AI65" s="233"/>
      <c r="AJ65" s="233"/>
      <c r="AK65" s="233"/>
      <c r="AL65" s="233"/>
      <c r="AM65" s="233"/>
      <c r="AN65" s="233"/>
      <c r="AO65" s="233"/>
      <c r="AP65" s="233"/>
      <c r="AQ65" s="233"/>
      <c r="AR65" s="233"/>
      <c r="AS65" s="233"/>
    </row>
    <row r="66" spans="1:46">
      <c r="A66" s="185" t="s">
        <v>16</v>
      </c>
      <c r="B66" s="185" t="s">
        <v>414</v>
      </c>
      <c r="C66" s="185" t="s">
        <v>423</v>
      </c>
      <c r="D66" s="185" t="s">
        <v>147</v>
      </c>
      <c r="F66" s="49">
        <f>[2]Calib_1011!$AC28</f>
        <v>5.0070955734014992</v>
      </c>
      <c r="G66" s="61">
        <f t="shared" si="93"/>
        <v>5.0070955734014992</v>
      </c>
      <c r="H66" s="61">
        <f t="shared" si="93"/>
        <v>5.0070955734014992</v>
      </c>
      <c r="I66" s="61">
        <f t="shared" si="93"/>
        <v>5.0070955734014992</v>
      </c>
      <c r="J66" s="61">
        <f t="shared" si="94"/>
        <v>5.0070955734014992</v>
      </c>
      <c r="K66" s="61">
        <f t="shared" si="95"/>
        <v>5.0070955734014992</v>
      </c>
      <c r="L66" s="61">
        <f t="shared" si="96"/>
        <v>5.0070955734014992</v>
      </c>
      <c r="M66" s="61">
        <f t="shared" si="97"/>
        <v>5.0070955734014992</v>
      </c>
      <c r="N66" s="61">
        <f t="shared" si="98"/>
        <v>5.0070955734014992</v>
      </c>
      <c r="O66" s="186"/>
      <c r="P66" s="61">
        <f t="shared" si="105"/>
        <v>5.0070955734014992</v>
      </c>
      <c r="Q66" s="61">
        <f t="shared" si="106"/>
        <v>5.0070955734014992</v>
      </c>
      <c r="R66" s="61">
        <f t="shared" ref="R66:S66" si="115">Q66</f>
        <v>5.0070955734014992</v>
      </c>
      <c r="S66" s="61">
        <f t="shared" si="115"/>
        <v>5.0070955734014992</v>
      </c>
      <c r="T66" s="46">
        <f t="shared" si="100"/>
        <v>5.0070955734014992</v>
      </c>
      <c r="U66" s="46">
        <f t="shared" si="101"/>
        <v>5.0070955734014992</v>
      </c>
      <c r="V66" s="46">
        <f t="shared" si="108"/>
        <v>5.0070955734014992</v>
      </c>
      <c r="W66" s="233"/>
      <c r="X66" s="61">
        <f t="shared" si="109"/>
        <v>5.0070955734014992</v>
      </c>
      <c r="Y66" s="61">
        <f t="shared" si="110"/>
        <v>5.0070955734014992</v>
      </c>
      <c r="Z66" s="61">
        <f t="shared" si="111"/>
        <v>5.0070955734014992</v>
      </c>
      <c r="AA66" s="61">
        <f t="shared" si="112"/>
        <v>5.0070955734014992</v>
      </c>
      <c r="AB66" s="46">
        <f t="shared" si="103"/>
        <v>5.0070955734014992</v>
      </c>
      <c r="AC66" s="46">
        <f t="shared" si="104"/>
        <v>5.0070955734014992</v>
      </c>
      <c r="AD66" s="46">
        <f t="shared" si="113"/>
        <v>5.0070955734014992</v>
      </c>
      <c r="AE66" s="233"/>
      <c r="AF66" s="233"/>
      <c r="AG66" s="233"/>
      <c r="AH66" s="233"/>
      <c r="AI66" s="233"/>
      <c r="AJ66" s="233"/>
      <c r="AK66" s="233"/>
      <c r="AL66" s="233"/>
      <c r="AM66" s="233"/>
      <c r="AN66" s="233"/>
      <c r="AO66" s="233"/>
      <c r="AP66" s="233"/>
      <c r="AQ66" s="233"/>
      <c r="AR66" s="233"/>
      <c r="AS66" s="233"/>
    </row>
    <row r="67" spans="1:46">
      <c r="A67" s="185" t="s">
        <v>16</v>
      </c>
      <c r="B67" s="185" t="s">
        <v>415</v>
      </c>
      <c r="C67" s="185" t="s">
        <v>424</v>
      </c>
      <c r="D67" s="185" t="s">
        <v>147</v>
      </c>
      <c r="F67" s="49">
        <f>[2]Calib_1011!$AC29</f>
        <v>7.9193584801965402</v>
      </c>
      <c r="G67" s="61">
        <f t="shared" si="93"/>
        <v>7.9193584801965402</v>
      </c>
      <c r="H67" s="61">
        <f t="shared" si="93"/>
        <v>7.9193584801965402</v>
      </c>
      <c r="I67" s="61">
        <f t="shared" si="93"/>
        <v>7.9193584801965402</v>
      </c>
      <c r="J67" s="61">
        <f t="shared" si="94"/>
        <v>7.9193584801965402</v>
      </c>
      <c r="K67" s="61">
        <f t="shared" si="95"/>
        <v>7.9193584801965402</v>
      </c>
      <c r="L67" s="61">
        <f t="shared" si="96"/>
        <v>7.9193584801965402</v>
      </c>
      <c r="M67" s="61">
        <f t="shared" si="97"/>
        <v>7.9193584801965402</v>
      </c>
      <c r="N67" s="61">
        <f t="shared" si="98"/>
        <v>7.9193584801965402</v>
      </c>
      <c r="O67" s="186"/>
      <c r="P67" s="61">
        <f t="shared" si="105"/>
        <v>7.9193584801965402</v>
      </c>
      <c r="Q67" s="61">
        <f t="shared" si="106"/>
        <v>7.9193584801965402</v>
      </c>
      <c r="R67" s="61">
        <f t="shared" ref="R67:S67" si="116">Q67</f>
        <v>7.9193584801965402</v>
      </c>
      <c r="S67" s="61">
        <f t="shared" si="116"/>
        <v>7.9193584801965402</v>
      </c>
      <c r="T67" s="46">
        <f t="shared" si="100"/>
        <v>7.9193584801965402</v>
      </c>
      <c r="U67" s="46">
        <f t="shared" si="101"/>
        <v>7.9193584801965402</v>
      </c>
      <c r="V67" s="46">
        <f t="shared" si="108"/>
        <v>7.9193584801965402</v>
      </c>
      <c r="W67" s="233"/>
      <c r="X67" s="61">
        <f t="shared" si="109"/>
        <v>7.9193584801965402</v>
      </c>
      <c r="Y67" s="61">
        <f t="shared" si="110"/>
        <v>7.9193584801965402</v>
      </c>
      <c r="Z67" s="61">
        <f t="shared" si="111"/>
        <v>7.9193584801965402</v>
      </c>
      <c r="AA67" s="61">
        <f t="shared" si="112"/>
        <v>7.9193584801965402</v>
      </c>
      <c r="AB67" s="46">
        <f t="shared" si="103"/>
        <v>7.9193584801965402</v>
      </c>
      <c r="AC67" s="46">
        <f t="shared" si="104"/>
        <v>7.9193584801965402</v>
      </c>
      <c r="AD67" s="46">
        <f t="shared" si="113"/>
        <v>7.9193584801965402</v>
      </c>
      <c r="AE67" s="233"/>
      <c r="AF67" s="233"/>
      <c r="AG67" s="233"/>
      <c r="AH67" s="233"/>
      <c r="AI67" s="233"/>
      <c r="AJ67" s="233"/>
      <c r="AK67" s="233"/>
      <c r="AL67" s="233"/>
      <c r="AM67" s="233"/>
      <c r="AN67" s="233"/>
      <c r="AO67" s="233"/>
      <c r="AP67" s="233"/>
      <c r="AQ67" s="233"/>
      <c r="AR67" s="233"/>
      <c r="AS67" s="233"/>
    </row>
    <row r="68" spans="1:46">
      <c r="A68" s="185" t="s">
        <v>16</v>
      </c>
      <c r="B68" s="185" t="s">
        <v>416</v>
      </c>
      <c r="C68" s="185" t="s">
        <v>425</v>
      </c>
      <c r="D68" s="185" t="s">
        <v>147</v>
      </c>
      <c r="F68" s="49">
        <f>[2]Calib_1011!$AC30</f>
        <v>10.886935146339562</v>
      </c>
      <c r="G68" s="61">
        <f t="shared" si="93"/>
        <v>10.886935146339562</v>
      </c>
      <c r="H68" s="61">
        <f t="shared" si="93"/>
        <v>10.886935146339562</v>
      </c>
      <c r="I68" s="61">
        <f t="shared" si="93"/>
        <v>10.886935146339562</v>
      </c>
      <c r="J68" s="61">
        <f t="shared" si="94"/>
        <v>10.886935146339562</v>
      </c>
      <c r="K68" s="61">
        <f t="shared" si="95"/>
        <v>10.886935146339562</v>
      </c>
      <c r="L68" s="61">
        <f t="shared" si="96"/>
        <v>10.886935146339562</v>
      </c>
      <c r="M68" s="61">
        <f t="shared" si="97"/>
        <v>10.886935146339562</v>
      </c>
      <c r="N68" s="61">
        <f t="shared" si="98"/>
        <v>10.886935146339562</v>
      </c>
      <c r="O68" s="186"/>
      <c r="P68" s="61">
        <f t="shared" si="105"/>
        <v>10.886935146339562</v>
      </c>
      <c r="Q68" s="61">
        <f t="shared" si="106"/>
        <v>10.886935146339562</v>
      </c>
      <c r="R68" s="61">
        <f t="shared" ref="R68:S68" si="117">Q68</f>
        <v>10.886935146339562</v>
      </c>
      <c r="S68" s="61">
        <f t="shared" si="117"/>
        <v>10.886935146339562</v>
      </c>
      <c r="T68" s="46">
        <f t="shared" si="100"/>
        <v>10.886935146339562</v>
      </c>
      <c r="U68" s="46">
        <f t="shared" si="101"/>
        <v>10.886935146339562</v>
      </c>
      <c r="V68" s="46">
        <f t="shared" si="108"/>
        <v>10.886935146339562</v>
      </c>
      <c r="W68" s="233"/>
      <c r="X68" s="61">
        <f t="shared" si="109"/>
        <v>10.886935146339562</v>
      </c>
      <c r="Y68" s="61">
        <f t="shared" si="110"/>
        <v>10.886935146339562</v>
      </c>
      <c r="Z68" s="61">
        <f t="shared" si="111"/>
        <v>10.886935146339562</v>
      </c>
      <c r="AA68" s="61">
        <f t="shared" si="112"/>
        <v>10.886935146339562</v>
      </c>
      <c r="AB68" s="46">
        <f t="shared" si="103"/>
        <v>10.886935146339562</v>
      </c>
      <c r="AC68" s="46">
        <f t="shared" si="104"/>
        <v>10.886935146339562</v>
      </c>
      <c r="AD68" s="46">
        <f t="shared" si="113"/>
        <v>10.886935146339562</v>
      </c>
      <c r="AE68" s="233"/>
      <c r="AF68" s="233"/>
      <c r="AG68" s="233"/>
      <c r="AH68" s="233"/>
      <c r="AI68" s="233"/>
      <c r="AJ68" s="233"/>
      <c r="AK68" s="233"/>
      <c r="AL68" s="233"/>
      <c r="AM68" s="233"/>
      <c r="AN68" s="233"/>
      <c r="AO68" s="233"/>
      <c r="AP68" s="233"/>
      <c r="AQ68" s="233"/>
      <c r="AR68" s="233"/>
      <c r="AS68" s="233"/>
    </row>
    <row r="69" spans="1:46">
      <c r="A69" s="185" t="s">
        <v>16</v>
      </c>
      <c r="B69" s="185" t="s">
        <v>417</v>
      </c>
      <c r="C69" s="185" t="s">
        <v>426</v>
      </c>
      <c r="D69" s="185" t="s">
        <v>147</v>
      </c>
      <c r="F69" s="49">
        <f>[2]Calib_1011!$AC31</f>
        <v>19.520776457571557</v>
      </c>
      <c r="G69" s="61">
        <f t="shared" si="93"/>
        <v>19.520776457571557</v>
      </c>
      <c r="H69" s="61">
        <f t="shared" si="93"/>
        <v>19.520776457571557</v>
      </c>
      <c r="I69" s="61">
        <v>19.520776457571557</v>
      </c>
      <c r="J69" s="61">
        <f t="shared" si="94"/>
        <v>19.520776457571557</v>
      </c>
      <c r="K69" s="61">
        <f t="shared" si="95"/>
        <v>19.520776457571557</v>
      </c>
      <c r="L69" s="61">
        <f t="shared" si="96"/>
        <v>19.520776457571557</v>
      </c>
      <c r="M69" s="61">
        <f t="shared" si="97"/>
        <v>19.520776457571557</v>
      </c>
      <c r="N69" s="61">
        <f t="shared" si="98"/>
        <v>19.520776457571557</v>
      </c>
      <c r="O69" s="186"/>
      <c r="P69" s="61">
        <f t="shared" si="105"/>
        <v>19.520776457571557</v>
      </c>
      <c r="Q69" s="61">
        <f t="shared" si="106"/>
        <v>19.520776457571557</v>
      </c>
      <c r="R69" s="61">
        <f t="shared" ref="R69:S69" si="118">Q69</f>
        <v>19.520776457571557</v>
      </c>
      <c r="S69" s="61">
        <f t="shared" si="118"/>
        <v>19.520776457571557</v>
      </c>
      <c r="T69" s="46">
        <f t="shared" si="100"/>
        <v>19.520776457571557</v>
      </c>
      <c r="U69" s="46">
        <f t="shared" si="101"/>
        <v>19.520776457571557</v>
      </c>
      <c r="V69" s="46">
        <f t="shared" si="108"/>
        <v>19.520776457571557</v>
      </c>
      <c r="W69" s="233"/>
      <c r="X69" s="61">
        <f t="shared" si="109"/>
        <v>19.520776457571557</v>
      </c>
      <c r="Y69" s="61">
        <f t="shared" si="110"/>
        <v>19.520776457571557</v>
      </c>
      <c r="Z69" s="61">
        <f t="shared" si="111"/>
        <v>19.520776457571557</v>
      </c>
      <c r="AA69" s="61">
        <f t="shared" si="112"/>
        <v>19.520776457571557</v>
      </c>
      <c r="AB69" s="46">
        <f t="shared" si="103"/>
        <v>19.520776457571557</v>
      </c>
      <c r="AC69" s="46">
        <f t="shared" si="104"/>
        <v>19.520776457571557</v>
      </c>
      <c r="AD69" s="46">
        <f t="shared" si="113"/>
        <v>19.520776457571557</v>
      </c>
      <c r="AE69" s="233"/>
      <c r="AF69" s="233"/>
      <c r="AG69" s="233"/>
      <c r="AH69" s="233"/>
      <c r="AI69" s="233"/>
      <c r="AJ69" s="233"/>
      <c r="AK69" s="233"/>
      <c r="AL69" s="233"/>
      <c r="AM69" s="233"/>
      <c r="AN69" s="233"/>
      <c r="AO69" s="233"/>
      <c r="AP69" s="233"/>
      <c r="AQ69" s="233"/>
      <c r="AR69" s="233"/>
      <c r="AS69" s="233"/>
    </row>
    <row r="70" spans="1:46">
      <c r="A70" s="185" t="s">
        <v>16</v>
      </c>
      <c r="B70" s="185" t="s">
        <v>418</v>
      </c>
      <c r="C70" s="185" t="s">
        <v>427</v>
      </c>
      <c r="D70" s="185" t="s">
        <v>147</v>
      </c>
      <c r="F70" s="49">
        <f>[2]Calib_1011!$AC32</f>
        <v>17.889918497338776</v>
      </c>
      <c r="G70" s="61">
        <f t="shared" si="93"/>
        <v>17.889918497338776</v>
      </c>
      <c r="H70" s="61">
        <f t="shared" si="93"/>
        <v>17.889918497338776</v>
      </c>
      <c r="I70" s="61">
        <f t="shared" si="93"/>
        <v>17.889918497338776</v>
      </c>
      <c r="J70" s="61">
        <f t="shared" si="94"/>
        <v>17.889918497338776</v>
      </c>
      <c r="K70" s="61">
        <f t="shared" si="95"/>
        <v>17.889918497338776</v>
      </c>
      <c r="L70" s="61">
        <f t="shared" si="96"/>
        <v>17.889918497338776</v>
      </c>
      <c r="M70" s="61">
        <f t="shared" si="97"/>
        <v>17.889918497338776</v>
      </c>
      <c r="N70" s="61">
        <f t="shared" si="98"/>
        <v>17.889918497338776</v>
      </c>
      <c r="O70" s="186"/>
      <c r="P70" s="61">
        <f t="shared" si="105"/>
        <v>17.889918497338776</v>
      </c>
      <c r="Q70" s="61">
        <f t="shared" si="106"/>
        <v>17.889918497338776</v>
      </c>
      <c r="R70" s="61">
        <f t="shared" ref="R70:S70" si="119">Q70</f>
        <v>17.889918497338776</v>
      </c>
      <c r="S70" s="61">
        <f t="shared" si="119"/>
        <v>17.889918497338776</v>
      </c>
      <c r="T70" s="46">
        <f t="shared" si="100"/>
        <v>17.889918497338776</v>
      </c>
      <c r="U70" s="46">
        <f t="shared" si="101"/>
        <v>17.889918497338776</v>
      </c>
      <c r="V70" s="46">
        <f t="shared" si="108"/>
        <v>17.889918497338776</v>
      </c>
      <c r="W70" s="233"/>
      <c r="X70" s="61">
        <f t="shared" si="109"/>
        <v>17.889918497338776</v>
      </c>
      <c r="Y70" s="61">
        <f t="shared" si="110"/>
        <v>17.889918497338776</v>
      </c>
      <c r="Z70" s="61">
        <f t="shared" si="111"/>
        <v>17.889918497338776</v>
      </c>
      <c r="AA70" s="61">
        <f t="shared" si="112"/>
        <v>17.889918497338776</v>
      </c>
      <c r="AB70" s="46">
        <f t="shared" si="103"/>
        <v>17.889918497338776</v>
      </c>
      <c r="AC70" s="46">
        <f t="shared" si="104"/>
        <v>17.889918497338776</v>
      </c>
      <c r="AD70" s="46">
        <f t="shared" si="113"/>
        <v>17.889918497338776</v>
      </c>
      <c r="AE70" s="233"/>
      <c r="AF70" s="233"/>
      <c r="AG70" s="233"/>
      <c r="AH70" s="233"/>
      <c r="AI70" s="233"/>
      <c r="AJ70" s="233"/>
      <c r="AK70" s="233"/>
      <c r="AL70" s="233"/>
      <c r="AM70" s="233"/>
      <c r="AN70" s="233"/>
      <c r="AO70" s="233"/>
      <c r="AP70" s="233"/>
      <c r="AQ70" s="233"/>
      <c r="AR70" s="233"/>
      <c r="AS70" s="233"/>
    </row>
    <row r="71" spans="1:46">
      <c r="A71" s="185" t="s">
        <v>16</v>
      </c>
      <c r="B71" s="185" t="s">
        <v>419</v>
      </c>
      <c r="C71" s="185" t="s">
        <v>428</v>
      </c>
      <c r="D71" s="185" t="s">
        <v>147</v>
      </c>
      <c r="F71" s="49">
        <f>[2]Calib_1011!$AC33</f>
        <v>18.402975262404723</v>
      </c>
      <c r="G71" s="61">
        <f t="shared" si="93"/>
        <v>18.402975262404723</v>
      </c>
      <c r="H71" s="61">
        <f t="shared" si="93"/>
        <v>18.402975262404723</v>
      </c>
      <c r="I71" s="61">
        <f t="shared" si="93"/>
        <v>18.402975262404723</v>
      </c>
      <c r="J71" s="61">
        <f t="shared" si="94"/>
        <v>18.402975262404723</v>
      </c>
      <c r="K71" s="61">
        <f t="shared" si="95"/>
        <v>18.402975262404723</v>
      </c>
      <c r="L71" s="61">
        <f t="shared" si="96"/>
        <v>18.402975262404723</v>
      </c>
      <c r="M71" s="61">
        <f t="shared" si="97"/>
        <v>18.402975262404723</v>
      </c>
      <c r="N71" s="61">
        <f t="shared" si="98"/>
        <v>18.402975262404723</v>
      </c>
      <c r="O71" s="186"/>
      <c r="P71" s="61">
        <f>$G71</f>
        <v>18.402975262404723</v>
      </c>
      <c r="Q71" s="61">
        <f t="shared" si="106"/>
        <v>18.402975262404723</v>
      </c>
      <c r="R71" s="61">
        <f t="shared" ref="R71:S71" si="120">Q71</f>
        <v>18.402975262404723</v>
      </c>
      <c r="S71" s="61">
        <f t="shared" si="120"/>
        <v>18.402975262404723</v>
      </c>
      <c r="T71" s="46">
        <f t="shared" si="100"/>
        <v>18.402975262404723</v>
      </c>
      <c r="U71" s="46">
        <f t="shared" si="101"/>
        <v>18.402975262404723</v>
      </c>
      <c r="V71" s="46">
        <f>T71</f>
        <v>18.402975262404723</v>
      </c>
      <c r="W71" s="233"/>
      <c r="X71" s="61">
        <f t="shared" si="109"/>
        <v>18.402975262404723</v>
      </c>
      <c r="Y71" s="61">
        <f t="shared" si="110"/>
        <v>18.402975262404723</v>
      </c>
      <c r="Z71" s="61">
        <f t="shared" si="111"/>
        <v>18.402975262404723</v>
      </c>
      <c r="AA71" s="61">
        <f t="shared" si="112"/>
        <v>18.402975262404723</v>
      </c>
      <c r="AB71" s="46">
        <f t="shared" si="103"/>
        <v>18.402975262404723</v>
      </c>
      <c r="AC71" s="46">
        <f t="shared" si="104"/>
        <v>18.402975262404723</v>
      </c>
      <c r="AD71" s="46">
        <f>AB71</f>
        <v>18.402975262404723</v>
      </c>
      <c r="AE71" s="233"/>
      <c r="AF71" s="233"/>
      <c r="AG71" s="233"/>
      <c r="AH71" s="233"/>
      <c r="AI71" s="233"/>
      <c r="AJ71" s="233"/>
      <c r="AK71" s="233"/>
      <c r="AL71" s="233"/>
      <c r="AM71" s="233"/>
      <c r="AN71" s="233"/>
      <c r="AO71" s="233"/>
      <c r="AP71" s="233"/>
      <c r="AQ71" s="233"/>
      <c r="AR71" s="233"/>
      <c r="AS71" s="233"/>
    </row>
    <row r="72" spans="1:46">
      <c r="A72" s="185" t="s">
        <v>16</v>
      </c>
      <c r="B72" s="185" t="s">
        <v>420</v>
      </c>
      <c r="C72" s="185" t="s">
        <v>429</v>
      </c>
      <c r="D72" s="185" t="s">
        <v>147</v>
      </c>
      <c r="F72" s="49">
        <f>[2]Calib_1011!$AC34</f>
        <v>21.907017031495844</v>
      </c>
      <c r="G72" s="61">
        <f>F72</f>
        <v>21.907017031495844</v>
      </c>
      <c r="H72" s="61">
        <f t="shared" si="93"/>
        <v>21.907017031495844</v>
      </c>
      <c r="I72" s="61">
        <f t="shared" si="93"/>
        <v>21.907017031495844</v>
      </c>
      <c r="J72" s="61">
        <f t="shared" si="94"/>
        <v>21.907017031495844</v>
      </c>
      <c r="K72" s="61">
        <f t="shared" si="95"/>
        <v>21.907017031495844</v>
      </c>
      <c r="L72" s="61">
        <f t="shared" si="96"/>
        <v>21.907017031495844</v>
      </c>
      <c r="M72" s="61">
        <f t="shared" si="97"/>
        <v>21.907017031495844</v>
      </c>
      <c r="N72" s="61">
        <f t="shared" si="98"/>
        <v>21.907017031495844</v>
      </c>
      <c r="O72" s="186"/>
      <c r="P72" s="61">
        <f>$G72</f>
        <v>21.907017031495844</v>
      </c>
      <c r="Q72" s="61">
        <f>P72</f>
        <v>21.907017031495844</v>
      </c>
      <c r="R72" s="61">
        <f t="shared" ref="R72:S72" si="121">Q72</f>
        <v>21.907017031495844</v>
      </c>
      <c r="S72" s="61">
        <f t="shared" si="121"/>
        <v>21.907017031495844</v>
      </c>
      <c r="T72" s="46">
        <f t="shared" si="100"/>
        <v>21.907017031495844</v>
      </c>
      <c r="U72" s="46">
        <f t="shared" si="101"/>
        <v>21.907017031495844</v>
      </c>
      <c r="V72" s="46">
        <f>T72</f>
        <v>21.907017031495844</v>
      </c>
      <c r="W72" s="233"/>
      <c r="X72" s="61">
        <f t="shared" si="109"/>
        <v>21.907017031495844</v>
      </c>
      <c r="Y72" s="61">
        <f t="shared" si="110"/>
        <v>21.907017031495844</v>
      </c>
      <c r="Z72" s="61">
        <f t="shared" si="111"/>
        <v>21.907017031495844</v>
      </c>
      <c r="AA72" s="61">
        <f t="shared" si="112"/>
        <v>21.907017031495844</v>
      </c>
      <c r="AB72" s="46">
        <f t="shared" si="103"/>
        <v>21.907017031495844</v>
      </c>
      <c r="AC72" s="46">
        <f t="shared" si="104"/>
        <v>21.907017031495844</v>
      </c>
      <c r="AD72" s="46">
        <f>AB72</f>
        <v>21.907017031495844</v>
      </c>
      <c r="AE72" s="233"/>
      <c r="AF72" s="233"/>
      <c r="AG72" s="233"/>
      <c r="AH72" s="233"/>
      <c r="AI72" s="233"/>
      <c r="AJ72" s="233"/>
      <c r="AK72" s="233"/>
      <c r="AL72" s="233"/>
      <c r="AM72" s="233"/>
      <c r="AN72" s="233"/>
      <c r="AO72" s="233"/>
      <c r="AP72" s="233"/>
      <c r="AQ72" s="233"/>
      <c r="AR72" s="233"/>
      <c r="AS72" s="233"/>
    </row>
    <row r="73" spans="1:46">
      <c r="A73" s="185" t="s">
        <v>16</v>
      </c>
      <c r="P73" s="61">
        <f>SUM(P86:P88)/P89</f>
        <v>0.42007695406549028</v>
      </c>
      <c r="Q73" s="61"/>
      <c r="R73" s="61"/>
      <c r="S73" s="61"/>
    </row>
    <row r="74" spans="1:46">
      <c r="A74" s="185" t="s">
        <v>16</v>
      </c>
      <c r="P74" s="5" t="s">
        <v>41</v>
      </c>
      <c r="X74" s="5" t="s">
        <v>197</v>
      </c>
      <c r="AI74" s="185" t="s">
        <v>476</v>
      </c>
    </row>
    <row r="75" spans="1:46" ht="15.75" thickBot="1">
      <c r="A75" s="185" t="s">
        <v>16</v>
      </c>
      <c r="B75" s="14" t="s">
        <v>210</v>
      </c>
      <c r="C75" s="14"/>
      <c r="D75" s="14"/>
      <c r="E75" s="260" t="s">
        <v>631</v>
      </c>
      <c r="F75" s="185">
        <f t="shared" ref="F75:K75" si="122">F$4</f>
        <v>2012</v>
      </c>
      <c r="G75" s="185">
        <f t="shared" si="122"/>
        <v>2015</v>
      </c>
      <c r="H75" s="185">
        <f t="shared" si="122"/>
        <v>2017</v>
      </c>
      <c r="I75" s="283">
        <f t="shared" si="122"/>
        <v>2019</v>
      </c>
      <c r="J75" s="283">
        <f t="shared" si="122"/>
        <v>2020</v>
      </c>
      <c r="K75" s="283">
        <f t="shared" si="122"/>
        <v>2021</v>
      </c>
      <c r="L75" s="185">
        <f>L$4</f>
        <v>2030</v>
      </c>
      <c r="M75" s="185">
        <f>M$4</f>
        <v>2040</v>
      </c>
      <c r="N75" s="185">
        <f>N$4</f>
        <v>2050</v>
      </c>
      <c r="P75" s="7">
        <f t="shared" ref="P75:T75" si="123">P$4</f>
        <v>2015</v>
      </c>
      <c r="Q75" s="7">
        <f t="shared" si="123"/>
        <v>2019</v>
      </c>
      <c r="R75" s="7">
        <f t="shared" si="123"/>
        <v>2020</v>
      </c>
      <c r="S75" s="7">
        <f t="shared" si="123"/>
        <v>2021</v>
      </c>
      <c r="T75" s="7">
        <f t="shared" si="123"/>
        <v>2030</v>
      </c>
      <c r="U75" s="7">
        <f>U$4</f>
        <v>2040</v>
      </c>
      <c r="V75" s="7">
        <f>V$4</f>
        <v>2050</v>
      </c>
      <c r="W75" s="185">
        <f>W$4</f>
        <v>0</v>
      </c>
      <c r="X75" s="7">
        <f t="shared" ref="X75:AD75" si="124">P75</f>
        <v>2015</v>
      </c>
      <c r="Y75" s="7">
        <f t="shared" si="124"/>
        <v>2019</v>
      </c>
      <c r="Z75" s="7">
        <f t="shared" si="124"/>
        <v>2020</v>
      </c>
      <c r="AA75" s="7">
        <f t="shared" si="124"/>
        <v>2021</v>
      </c>
      <c r="AB75" s="7">
        <f t="shared" si="124"/>
        <v>2030</v>
      </c>
      <c r="AC75" s="7">
        <f t="shared" si="124"/>
        <v>2040</v>
      </c>
      <c r="AD75" s="7">
        <f t="shared" si="124"/>
        <v>2050</v>
      </c>
      <c r="AJ75" s="7" t="str">
        <f>P74</f>
        <v>Reference</v>
      </c>
      <c r="AP75" s="7" t="s">
        <v>632</v>
      </c>
    </row>
    <row r="76" spans="1:46">
      <c r="A76" s="185" t="s">
        <v>16</v>
      </c>
      <c r="B76" s="186" t="str">
        <f>B92</f>
        <v>TFLCV</v>
      </c>
      <c r="C76" s="186" t="str">
        <f>C92</f>
        <v>Transport Freight - LCV</v>
      </c>
      <c r="D76" s="185" t="s">
        <v>149</v>
      </c>
      <c r="E76" s="261">
        <v>21.7</v>
      </c>
      <c r="F76" s="234">
        <f>F63*F92</f>
        <v>17.151878492126293</v>
      </c>
      <c r="G76" s="234">
        <f t="shared" ref="G76:H76" si="125">G63*G92</f>
        <v>17.664096000000001</v>
      </c>
      <c r="H76" s="234">
        <f t="shared" si="125"/>
        <v>18.039187972530819</v>
      </c>
      <c r="I76" s="234">
        <f t="shared" ref="I76:N85" si="126">I63*I92</f>
        <v>18.474728708006445</v>
      </c>
      <c r="J76" s="234">
        <f t="shared" si="126"/>
        <v>17.381664585844597</v>
      </c>
      <c r="K76" s="234">
        <f>K63*K92</f>
        <v>17.672226072169018</v>
      </c>
      <c r="L76" s="234">
        <f t="shared" si="126"/>
        <v>20.48244861471408</v>
      </c>
      <c r="M76" s="234">
        <f t="shared" si="126"/>
        <v>25.633401816400351</v>
      </c>
      <c r="N76" s="234">
        <f t="shared" si="126"/>
        <v>33.146544753796483</v>
      </c>
      <c r="O76" s="8"/>
      <c r="P76" s="234">
        <f>P43</f>
        <v>17.976210697254331</v>
      </c>
      <c r="Q76" s="234">
        <f t="shared" ref="Q76:V76" si="127">Q43</f>
        <v>18.474728708006445</v>
      </c>
      <c r="R76" s="234">
        <f t="shared" si="127"/>
        <v>17.381664585844597</v>
      </c>
      <c r="S76" s="234">
        <f t="shared" si="127"/>
        <v>17.672226072169018</v>
      </c>
      <c r="T76" s="234">
        <f t="shared" si="127"/>
        <v>20.48244861471408</v>
      </c>
      <c r="U76" s="234">
        <f t="shared" si="127"/>
        <v>25.633401816400347</v>
      </c>
      <c r="V76" s="234">
        <f t="shared" si="127"/>
        <v>33.146544753796483</v>
      </c>
      <c r="W76" s="8"/>
      <c r="X76" s="234">
        <f>X43</f>
        <v>17.976210697254331</v>
      </c>
      <c r="Y76" s="234">
        <f>Y43</f>
        <v>18.474728708006445</v>
      </c>
      <c r="Z76" s="234">
        <f t="shared" ref="Z76:AD76" si="128">Z43</f>
        <v>17.381664585844597</v>
      </c>
      <c r="AA76" s="234">
        <f t="shared" si="128"/>
        <v>17.672226072169018</v>
      </c>
      <c r="AB76" s="234">
        <f t="shared" si="128"/>
        <v>20.48244861471408</v>
      </c>
      <c r="AC76" s="234">
        <f t="shared" si="128"/>
        <v>25.633401816400347</v>
      </c>
      <c r="AD76" s="234">
        <f t="shared" si="128"/>
        <v>33.146544753796483</v>
      </c>
      <c r="AJ76" s="7">
        <f>P75</f>
        <v>2015</v>
      </c>
      <c r="AK76" s="7">
        <f>R75</f>
        <v>2020</v>
      </c>
      <c r="AL76" s="7">
        <f>T75</f>
        <v>2030</v>
      </c>
      <c r="AM76" s="7">
        <f>U75</f>
        <v>2040</v>
      </c>
      <c r="AN76" s="7">
        <f>V75</f>
        <v>2050</v>
      </c>
      <c r="AO76" s="7"/>
      <c r="AP76" s="7">
        <f>X75</f>
        <v>2015</v>
      </c>
      <c r="AQ76" s="7">
        <f>Z75</f>
        <v>2020</v>
      </c>
      <c r="AR76" s="7">
        <f>AB75</f>
        <v>2030</v>
      </c>
      <c r="AS76" s="7">
        <f>AC75</f>
        <v>2040</v>
      </c>
      <c r="AT76" s="7">
        <f>AD75</f>
        <v>2050</v>
      </c>
    </row>
    <row r="77" spans="1:46">
      <c r="A77" s="185" t="s">
        <v>16</v>
      </c>
      <c r="B77" s="186" t="str">
        <f t="shared" ref="B77:C88" si="129">B93</f>
        <v>TFHCV1</v>
      </c>
      <c r="C77" s="186" t="str">
        <f t="shared" si="129"/>
        <v>Transport Freight - HCV1</v>
      </c>
      <c r="D77" s="185" t="s">
        <v>149</v>
      </c>
      <c r="E77" s="261">
        <v>7</v>
      </c>
      <c r="F77" s="234">
        <f t="shared" ref="F77:H77" si="130">F64*F93</f>
        <v>4.9123710000000003</v>
      </c>
      <c r="G77" s="234">
        <f t="shared" si="130"/>
        <v>5.0459399999999999</v>
      </c>
      <c r="H77" s="234">
        <f t="shared" si="130"/>
        <v>5.1201449999999999</v>
      </c>
      <c r="I77" s="234">
        <f t="shared" si="126"/>
        <v>5.2912409319912115</v>
      </c>
      <c r="J77" s="234">
        <f t="shared" si="126"/>
        <v>4.9781827152301004</v>
      </c>
      <c r="K77" s="234">
        <f t="shared" si="126"/>
        <v>5.0614007615678354</v>
      </c>
      <c r="L77" s="234">
        <f t="shared" si="126"/>
        <v>5.8662604582991227</v>
      </c>
      <c r="M77" s="234">
        <f t="shared" si="126"/>
        <v>7.3415153781574043</v>
      </c>
      <c r="N77" s="234">
        <f t="shared" si="126"/>
        <v>9.4933114920036061</v>
      </c>
      <c r="O77" s="8"/>
      <c r="P77" s="234">
        <f>P46</f>
        <v>5.1484632519767128</v>
      </c>
      <c r="Q77" s="234">
        <f t="shared" ref="Q77:V77" si="131">Q46</f>
        <v>5.2912409319912115</v>
      </c>
      <c r="R77" s="234">
        <f t="shared" si="131"/>
        <v>4.9781827152301004</v>
      </c>
      <c r="S77" s="234">
        <f t="shared" si="131"/>
        <v>5.0618873580717327</v>
      </c>
      <c r="T77" s="234">
        <f t="shared" si="131"/>
        <v>5.8662604582991227</v>
      </c>
      <c r="U77" s="234">
        <f t="shared" si="131"/>
        <v>7.3415153781574052</v>
      </c>
      <c r="V77" s="234">
        <f t="shared" si="131"/>
        <v>9.4933114920036061</v>
      </c>
      <c r="W77" s="8"/>
      <c r="X77" s="234">
        <f>X46</f>
        <v>5.1484632519767128</v>
      </c>
      <c r="Y77" s="234">
        <f>Y46</f>
        <v>5.2912409319912115</v>
      </c>
      <c r="Z77" s="234">
        <f t="shared" ref="Z77:AD77" si="132">Z46</f>
        <v>4.9781827152301004</v>
      </c>
      <c r="AA77" s="234">
        <f t="shared" si="132"/>
        <v>5.0618873580717327</v>
      </c>
      <c r="AB77" s="234">
        <f t="shared" si="132"/>
        <v>5.5729474353841661</v>
      </c>
      <c r="AC77" s="234">
        <f t="shared" si="132"/>
        <v>6.6257176287870569</v>
      </c>
      <c r="AD77" s="234">
        <f t="shared" si="132"/>
        <v>8.1393279404565906</v>
      </c>
      <c r="AI77" s="185" t="s">
        <v>595</v>
      </c>
      <c r="AJ77" s="186">
        <f>SUM(P78:P85)</f>
        <v>158.22499058340168</v>
      </c>
      <c r="AK77" s="186">
        <f>SUM(R78:R85)</f>
        <v>152.99184915757431</v>
      </c>
      <c r="AL77" s="186">
        <f>SUM(T78:T85)</f>
        <v>180.28467143429438</v>
      </c>
      <c r="AM77" s="186">
        <f>SUM(U78:U85)</f>
        <v>225.62289846991968</v>
      </c>
      <c r="AN77" s="186">
        <f>SUM(V78:V85)</f>
        <v>291.75290720990546</v>
      </c>
      <c r="AO77" s="186"/>
      <c r="AP77" s="186">
        <f>SUM(G78:G85)</f>
        <v>173.33384904646832</v>
      </c>
      <c r="AQ77" s="186">
        <f>SUM(J78:J85)</f>
        <v>152.99184915757431</v>
      </c>
      <c r="AR77" s="186">
        <f>SUM(L78:L85)</f>
        <v>180.28467143429438</v>
      </c>
      <c r="AS77" s="186">
        <f>SUM(M78:M85)</f>
        <v>225.62289846991968</v>
      </c>
      <c r="AT77" s="186">
        <f>SUM(N78:N85)</f>
        <v>291.75290720990546</v>
      </c>
    </row>
    <row r="78" spans="1:46">
      <c r="A78" s="185" t="s">
        <v>16</v>
      </c>
      <c r="B78" s="186" t="str">
        <f t="shared" si="129"/>
        <v>TFHCV2</v>
      </c>
      <c r="C78" s="186" t="str">
        <f t="shared" si="129"/>
        <v>Transport Freight - HCV2</v>
      </c>
      <c r="D78" s="185" t="s">
        <v>149</v>
      </c>
      <c r="E78" s="261">
        <v>2.011130021669262</v>
      </c>
      <c r="F78" s="234">
        <f t="shared" ref="F78:H78" si="133">F65*F94</f>
        <v>1.637614669131271</v>
      </c>
      <c r="G78" s="234">
        <f t="shared" si="133"/>
        <v>1.7610152149444733</v>
      </c>
      <c r="H78" s="234">
        <f t="shared" si="133"/>
        <v>1.8407596050545592</v>
      </c>
      <c r="I78" s="234">
        <f t="shared" si="126"/>
        <v>1.7639168067999393</v>
      </c>
      <c r="J78" s="234">
        <f t="shared" si="126"/>
        <v>1.6595540198565117</v>
      </c>
      <c r="K78" s="234">
        <f t="shared" si="126"/>
        <v>1.6872960396304906</v>
      </c>
      <c r="L78" s="234">
        <f t="shared" si="126"/>
        <v>1.9556084382583021</v>
      </c>
      <c r="M78" s="234">
        <f t="shared" si="126"/>
        <v>2.4474074284949929</v>
      </c>
      <c r="N78" s="234">
        <f t="shared" si="126"/>
        <v>3.1647418645573753</v>
      </c>
      <c r="O78" s="8"/>
      <c r="P78" s="234">
        <f>P51</f>
        <v>1.7163196641541021</v>
      </c>
      <c r="Q78" s="234">
        <f t="shared" ref="Q78:V78" si="134">Q51</f>
        <v>1.7639150720127121</v>
      </c>
      <c r="R78" s="234">
        <f t="shared" si="134"/>
        <v>1.6595540198565115</v>
      </c>
      <c r="S78" s="234">
        <f t="shared" si="134"/>
        <v>1.6874565944917681</v>
      </c>
      <c r="T78" s="234">
        <f t="shared" si="134"/>
        <v>1.9556084382583021</v>
      </c>
      <c r="U78" s="234">
        <f t="shared" si="134"/>
        <v>2.4474074284949929</v>
      </c>
      <c r="V78" s="234">
        <f t="shared" si="134"/>
        <v>3.1647418645573753</v>
      </c>
      <c r="W78" s="8"/>
      <c r="X78" s="234">
        <f>X51</f>
        <v>1.7163196641541021</v>
      </c>
      <c r="Y78" s="234">
        <f>Y51</f>
        <v>1.7639150720127121</v>
      </c>
      <c r="Z78" s="234">
        <f t="shared" ref="Z78:AD78" si="135">Z51</f>
        <v>1.6595540198565115</v>
      </c>
      <c r="AA78" s="234">
        <f t="shared" si="135"/>
        <v>1.6874565944917681</v>
      </c>
      <c r="AB78" s="234">
        <f t="shared" si="135"/>
        <v>1.8578280163453871</v>
      </c>
      <c r="AC78" s="234">
        <f t="shared" si="135"/>
        <v>2.2087852042167313</v>
      </c>
      <c r="AD78" s="234">
        <f t="shared" si="135"/>
        <v>2.7133705561248793</v>
      </c>
      <c r="AI78" s="185" t="s">
        <v>630</v>
      </c>
      <c r="AJ78" s="186">
        <f>P86</f>
        <v>23.057336578097942</v>
      </c>
      <c r="AK78" s="186">
        <f>R86</f>
        <v>22.294737049596232</v>
      </c>
      <c r="AL78" s="186">
        <f>T86</f>
        <v>26.271983545742081</v>
      </c>
      <c r="AM78" s="186">
        <f>U86</f>
        <v>32.878896630458648</v>
      </c>
      <c r="AN78" s="186">
        <f>V86</f>
        <v>42.515692081090613</v>
      </c>
      <c r="AO78" s="186"/>
      <c r="AP78" s="186">
        <f>H86</f>
        <v>23.440803697006192</v>
      </c>
      <c r="AQ78" s="186">
        <f>J86</f>
        <v>22.294737049596232</v>
      </c>
      <c r="AR78" s="186">
        <f>L86</f>
        <v>26.271983545742081</v>
      </c>
      <c r="AS78" s="186">
        <f>M86</f>
        <v>32.878896630458648</v>
      </c>
      <c r="AT78" s="186">
        <f>N86</f>
        <v>42.515692081090613</v>
      </c>
    </row>
    <row r="79" spans="1:46">
      <c r="A79" s="185" t="s">
        <v>16</v>
      </c>
      <c r="B79" s="186" t="str">
        <f t="shared" si="129"/>
        <v>TFHCV3</v>
      </c>
      <c r="C79" s="186" t="str">
        <f t="shared" si="129"/>
        <v>Transport Freight - HCV3</v>
      </c>
      <c r="D79" s="185" t="s">
        <v>149</v>
      </c>
      <c r="E79" s="261">
        <v>16.207267472028231</v>
      </c>
      <c r="F79" s="234">
        <f t="shared" ref="F79:H79" si="136">F66*F95</f>
        <v>13.576270721867905</v>
      </c>
      <c r="G79" s="234">
        <f t="shared" si="136"/>
        <v>14.520577162864347</v>
      </c>
      <c r="H79" s="234">
        <f t="shared" si="136"/>
        <v>15.174488450030418</v>
      </c>
      <c r="I79" s="234">
        <f t="shared" si="126"/>
        <v>14.623349772918479</v>
      </c>
      <c r="J79" s="234">
        <f t="shared" si="126"/>
        <v>13.758153902644418</v>
      </c>
      <c r="K79" s="234">
        <f t="shared" si="126"/>
        <v>13.988142787039763</v>
      </c>
      <c r="L79" s="234">
        <f t="shared" si="126"/>
        <v>16.212525500793355</v>
      </c>
      <c r="M79" s="234">
        <f t="shared" si="126"/>
        <v>20.289672804155341</v>
      </c>
      <c r="N79" s="234">
        <f t="shared" si="126"/>
        <v>26.236570255475549</v>
      </c>
      <c r="O79" s="8"/>
      <c r="P79" s="234">
        <f t="shared" ref="P79:P85" si="137">P52</f>
        <v>14.22875652315842</v>
      </c>
      <c r="Q79" s="234">
        <f t="shared" ref="Q79:V79" si="138">Q52</f>
        <v>14.623335391060838</v>
      </c>
      <c r="R79" s="234">
        <f t="shared" si="138"/>
        <v>13.758153902644418</v>
      </c>
      <c r="S79" s="234">
        <f t="shared" si="138"/>
        <v>13.989473830479653</v>
      </c>
      <c r="T79" s="234">
        <f t="shared" si="138"/>
        <v>16.212525500793355</v>
      </c>
      <c r="U79" s="234">
        <f t="shared" si="138"/>
        <v>20.289672804155337</v>
      </c>
      <c r="V79" s="234">
        <f t="shared" si="138"/>
        <v>26.236570255475549</v>
      </c>
      <c r="W79" s="8"/>
      <c r="X79" s="234">
        <f t="shared" ref="X79:X85" si="139">X52</f>
        <v>14.22875652315842</v>
      </c>
      <c r="Y79" s="234">
        <f t="shared" ref="Y79:AD79" si="140">Y52</f>
        <v>14.623335391060838</v>
      </c>
      <c r="Z79" s="234">
        <f t="shared" si="140"/>
        <v>13.758153902644418</v>
      </c>
      <c r="AA79" s="234">
        <f t="shared" si="140"/>
        <v>13.989473830479653</v>
      </c>
      <c r="AB79" s="234">
        <f t="shared" si="140"/>
        <v>15.401899225753688</v>
      </c>
      <c r="AC79" s="234">
        <f t="shared" si="140"/>
        <v>18.311429705750189</v>
      </c>
      <c r="AD79" s="234">
        <f t="shared" si="140"/>
        <v>22.494579422788345</v>
      </c>
      <c r="AI79" s="186"/>
    </row>
    <row r="80" spans="1:46">
      <c r="A80" s="185" t="s">
        <v>16</v>
      </c>
      <c r="B80" s="186" t="str">
        <f t="shared" si="129"/>
        <v>TFHCV4</v>
      </c>
      <c r="C80" s="186" t="str">
        <f t="shared" si="129"/>
        <v>Transport Freight - HCV4</v>
      </c>
      <c r="D80" s="185" t="s">
        <v>149</v>
      </c>
      <c r="E80" s="261">
        <v>5.3871747310586002</v>
      </c>
      <c r="F80" s="234">
        <f t="shared" ref="F80:H80" si="141">F67*F96</f>
        <v>4.515932780515814</v>
      </c>
      <c r="G80" s="234">
        <f t="shared" si="141"/>
        <v>4.2489873256924318</v>
      </c>
      <c r="H80" s="234">
        <f t="shared" si="141"/>
        <v>4.3066025770402403</v>
      </c>
      <c r="I80" s="234">
        <f t="shared" si="126"/>
        <v>4.864227147010304</v>
      </c>
      <c r="J80" s="234">
        <f t="shared" si="126"/>
        <v>4.5764333579660059</v>
      </c>
      <c r="K80" s="234">
        <f t="shared" si="126"/>
        <v>4.6529355405957507</v>
      </c>
      <c r="L80" s="234">
        <f t="shared" si="126"/>
        <v>5.3928414410631289</v>
      </c>
      <c r="M80" s="234">
        <f t="shared" si="126"/>
        <v>6.7490403218490576</v>
      </c>
      <c r="N80" s="234">
        <f t="shared" si="126"/>
        <v>8.7271821616051746</v>
      </c>
      <c r="O80" s="8"/>
      <c r="P80" s="234">
        <f t="shared" si="137"/>
        <v>4.7329719129281322</v>
      </c>
      <c r="Q80" s="234">
        <f t="shared" ref="Q80:V80" si="142">Q53</f>
        <v>4.8642223631117147</v>
      </c>
      <c r="R80" s="234">
        <f t="shared" si="142"/>
        <v>4.5764333579660059</v>
      </c>
      <c r="S80" s="234">
        <f t="shared" si="142"/>
        <v>4.6533782912469155</v>
      </c>
      <c r="T80" s="234">
        <f t="shared" si="142"/>
        <v>5.3928414410631289</v>
      </c>
      <c r="U80" s="234">
        <f t="shared" si="142"/>
        <v>6.7490403218490576</v>
      </c>
      <c r="V80" s="234">
        <f t="shared" si="142"/>
        <v>8.7271821616051746</v>
      </c>
      <c r="W80" s="8"/>
      <c r="X80" s="234">
        <f t="shared" si="139"/>
        <v>4.7329719129281322</v>
      </c>
      <c r="Y80" s="234">
        <f t="shared" ref="Y80:AD80" si="143">Y53</f>
        <v>4.8642223631117147</v>
      </c>
      <c r="Z80" s="234">
        <f t="shared" si="143"/>
        <v>4.5764333579660059</v>
      </c>
      <c r="AA80" s="234">
        <f t="shared" si="143"/>
        <v>4.6533782912469155</v>
      </c>
      <c r="AB80" s="234">
        <f t="shared" si="143"/>
        <v>5.1231993690099724</v>
      </c>
      <c r="AC80" s="234">
        <f t="shared" si="143"/>
        <v>6.0910088904687738</v>
      </c>
      <c r="AD80" s="234">
        <f t="shared" si="143"/>
        <v>7.4824678058062357</v>
      </c>
      <c r="AI80" s="186" t="s">
        <v>475</v>
      </c>
      <c r="AJ80" s="186">
        <f>SUM(AJ77:AJ78)</f>
        <v>181.28232716149961</v>
      </c>
      <c r="AK80" s="186">
        <f>SUM(AK77:AK78)</f>
        <v>175.28658620717053</v>
      </c>
      <c r="AL80" s="186">
        <f>SUM(AL77:AL78)</f>
        <v>206.55665498003646</v>
      </c>
      <c r="AM80" s="186">
        <f>SUM(AM77:AM78)</f>
        <v>258.50179510037833</v>
      </c>
      <c r="AN80" s="186">
        <f>SUM(AN77:AN78)</f>
        <v>334.26859929099606</v>
      </c>
      <c r="AO80" s="186"/>
      <c r="AP80" s="186">
        <f>SUM(AP77:AP78)</f>
        <v>196.77465274347452</v>
      </c>
      <c r="AQ80" s="186">
        <f>SUM(AQ77:AQ78)</f>
        <v>175.28658620717053</v>
      </c>
      <c r="AR80" s="186">
        <f>SUM(AR77:AR78)</f>
        <v>206.55665498003646</v>
      </c>
      <c r="AS80" s="186">
        <f>SUM(AS77:AS78)</f>
        <v>258.50179510037833</v>
      </c>
      <c r="AT80" s="186">
        <f>SUM(AT77:AT78)</f>
        <v>334.26859929099606</v>
      </c>
    </row>
    <row r="81" spans="1:46">
      <c r="A81" s="185" t="s">
        <v>16</v>
      </c>
      <c r="B81" s="186" t="str">
        <f t="shared" si="129"/>
        <v>TFHCV5</v>
      </c>
      <c r="C81" s="186" t="str">
        <f t="shared" si="129"/>
        <v>Transport Freight - HCV5</v>
      </c>
      <c r="D81" s="185" t="s">
        <v>149</v>
      </c>
      <c r="E81" s="261">
        <v>3.9725286670479121</v>
      </c>
      <c r="F81" s="234">
        <f t="shared" ref="F81:H81" si="144">F68*F97</f>
        <v>2.9750185434856067</v>
      </c>
      <c r="G81" s="234">
        <f t="shared" si="144"/>
        <v>3.1102185642863693</v>
      </c>
      <c r="H81" s="234">
        <f t="shared" si="144"/>
        <v>3.1523923845431949</v>
      </c>
      <c r="I81" s="234">
        <f t="shared" si="126"/>
        <v>3.2044688584644594</v>
      </c>
      <c r="J81" s="234">
        <f t="shared" si="126"/>
        <v>3.0148752793038378</v>
      </c>
      <c r="K81" s="234">
        <f t="shared" si="126"/>
        <v>3.0652735963298534</v>
      </c>
      <c r="L81" s="234">
        <f t="shared" si="126"/>
        <v>3.552710828305977</v>
      </c>
      <c r="M81" s="234">
        <f t="shared" si="126"/>
        <v>4.4461512347709542</v>
      </c>
      <c r="N81" s="234">
        <f t="shared" si="126"/>
        <v>5.7493169241076743</v>
      </c>
      <c r="O81" s="8"/>
      <c r="P81" s="234">
        <f t="shared" si="137"/>
        <v>3.1180001765104728</v>
      </c>
      <c r="Q81" s="234">
        <f t="shared" ref="Q81:V81" si="145">Q54</f>
        <v>3.2044657069146676</v>
      </c>
      <c r="R81" s="234">
        <f t="shared" si="145"/>
        <v>3.0148752793038378</v>
      </c>
      <c r="S81" s="234">
        <f t="shared" si="145"/>
        <v>3.0655652728142861</v>
      </c>
      <c r="T81" s="234">
        <f t="shared" si="145"/>
        <v>3.552710828305977</v>
      </c>
      <c r="U81" s="234">
        <f t="shared" si="145"/>
        <v>4.4461512347709542</v>
      </c>
      <c r="V81" s="234">
        <f t="shared" si="145"/>
        <v>5.7493169241076743</v>
      </c>
      <c r="W81" s="8"/>
      <c r="X81" s="234">
        <f t="shared" si="139"/>
        <v>3.1180001765104728</v>
      </c>
      <c r="Y81" s="234">
        <f t="shared" ref="Y81:AD81" si="146">Y54</f>
        <v>3.2044657069146676</v>
      </c>
      <c r="Z81" s="234">
        <f t="shared" si="146"/>
        <v>3.0148752793038378</v>
      </c>
      <c r="AA81" s="234">
        <f t="shared" si="146"/>
        <v>3.0655652728142861</v>
      </c>
      <c r="AB81" s="234">
        <f t="shared" si="146"/>
        <v>3.3750752868906782</v>
      </c>
      <c r="AC81" s="234">
        <f t="shared" si="146"/>
        <v>4.0126514893807856</v>
      </c>
      <c r="AD81" s="234">
        <f t="shared" si="146"/>
        <v>4.9293205978068171</v>
      </c>
      <c r="AE81" s="186"/>
      <c r="AF81" s="186"/>
      <c r="AG81" s="186"/>
      <c r="AH81" s="186"/>
      <c r="AI81" s="185" t="s">
        <v>474</v>
      </c>
      <c r="AJ81" s="190">
        <f>AJ78/AJ80</f>
        <v>0.12719020623315794</v>
      </c>
      <c r="AK81" s="190">
        <f>AK78/AK80</f>
        <v>0.12719020623315791</v>
      </c>
      <c r="AL81" s="190">
        <f>AL78/AL80</f>
        <v>0.12719020623315791</v>
      </c>
      <c r="AM81" s="190">
        <f>AM78/AM80</f>
        <v>0.12719020623315791</v>
      </c>
      <c r="AN81" s="190">
        <f>AN78/AN80</f>
        <v>0.12719020623315791</v>
      </c>
      <c r="AO81" s="190"/>
      <c r="AP81" s="190">
        <f>AP78/AP80</f>
        <v>0.11912511784515671</v>
      </c>
      <c r="AQ81" s="190">
        <f>AQ78/AQ80</f>
        <v>0.12719020623315791</v>
      </c>
      <c r="AR81" s="190">
        <f>AR78/AR80</f>
        <v>0.12719020623315791</v>
      </c>
      <c r="AS81" s="190">
        <f>AS78/AS80</f>
        <v>0.12719020623315791</v>
      </c>
      <c r="AT81" s="190">
        <f>AT78/AT80</f>
        <v>0.12719020623315791</v>
      </c>
    </row>
    <row r="82" spans="1:46">
      <c r="A82" s="185" t="s">
        <v>16</v>
      </c>
      <c r="B82" s="186" t="str">
        <f t="shared" si="129"/>
        <v>TFHCV6</v>
      </c>
      <c r="C82" s="186" t="str">
        <f t="shared" si="129"/>
        <v>Transport Freight - HCV6</v>
      </c>
      <c r="D82" s="185" t="s">
        <v>149</v>
      </c>
      <c r="E82" s="261">
        <v>140.25526500597067</v>
      </c>
      <c r="F82" s="234">
        <f>F69*F98</f>
        <v>98.309314568087203</v>
      </c>
      <c r="G82" s="234">
        <f t="shared" ref="G82" si="147">G69*G98</f>
        <v>117.31986651000506</v>
      </c>
      <c r="H82" s="234">
        <f>H69*H98</f>
        <v>129.63325694576622</v>
      </c>
      <c r="I82" s="234">
        <f>I69*I98</f>
        <v>105.89148686828884</v>
      </c>
      <c r="J82" s="234">
        <f t="shared" si="126"/>
        <v>99.626378082797544</v>
      </c>
      <c r="K82" s="234">
        <f t="shared" si="126"/>
        <v>101.29178753480312</v>
      </c>
      <c r="L82" s="234">
        <f t="shared" si="126"/>
        <v>117.39912248754413</v>
      </c>
      <c r="M82" s="234">
        <f t="shared" si="126"/>
        <v>146.92280870433564</v>
      </c>
      <c r="N82" s="234">
        <f t="shared" si="126"/>
        <v>189.98584303999428</v>
      </c>
      <c r="O82" s="8"/>
      <c r="P82" s="234">
        <f>P55</f>
        <v>103.03413430720434</v>
      </c>
      <c r="Q82" s="234">
        <f t="shared" ref="Q82:V82" si="148">Q55</f>
        <v>105.89138272550942</v>
      </c>
      <c r="R82" s="234">
        <f t="shared" si="148"/>
        <v>99.626378082797544</v>
      </c>
      <c r="S82" s="234">
        <f t="shared" si="148"/>
        <v>101.3014259672502</v>
      </c>
      <c r="T82" s="234">
        <f t="shared" si="148"/>
        <v>117.39912248754413</v>
      </c>
      <c r="U82" s="234">
        <f t="shared" si="148"/>
        <v>146.92280870433564</v>
      </c>
      <c r="V82" s="234">
        <f t="shared" si="148"/>
        <v>189.98584303999428</v>
      </c>
      <c r="W82" s="8"/>
      <c r="X82" s="234">
        <f t="shared" si="139"/>
        <v>103.03413430720434</v>
      </c>
      <c r="Y82" s="234">
        <f t="shared" ref="Y82:AD82" si="149">Y55</f>
        <v>105.89138272550942</v>
      </c>
      <c r="Z82" s="234">
        <f t="shared" si="149"/>
        <v>99.626378082797544</v>
      </c>
      <c r="AA82" s="234">
        <f t="shared" si="149"/>
        <v>101.3014259672502</v>
      </c>
      <c r="AB82" s="234">
        <f t="shared" si="149"/>
        <v>111.52916636316692</v>
      </c>
      <c r="AC82" s="234">
        <f t="shared" si="149"/>
        <v>132.59783485566291</v>
      </c>
      <c r="AD82" s="234">
        <f t="shared" si="149"/>
        <v>162.88911217641507</v>
      </c>
      <c r="AE82" s="186"/>
      <c r="AF82" s="186"/>
      <c r="AG82" s="186"/>
      <c r="AH82" s="186"/>
      <c r="AI82" s="186"/>
      <c r="AJ82" s="186"/>
      <c r="AK82" s="186"/>
      <c r="AL82" s="186"/>
      <c r="AM82" s="186"/>
      <c r="AN82" s="186"/>
      <c r="AO82" s="186"/>
      <c r="AP82" s="186"/>
      <c r="AQ82" s="186"/>
      <c r="AR82" s="186"/>
      <c r="AS82" s="186"/>
    </row>
    <row r="83" spans="1:46">
      <c r="A83" s="185" t="s">
        <v>16</v>
      </c>
      <c r="B83" s="186" t="str">
        <f t="shared" si="129"/>
        <v>TFHCV7</v>
      </c>
      <c r="C83" s="186" t="str">
        <f t="shared" si="129"/>
        <v>Transport Freight - HCV7</v>
      </c>
      <c r="D83" s="185" t="s">
        <v>149</v>
      </c>
      <c r="E83" s="261">
        <v>32.638769732712682</v>
      </c>
      <c r="F83" s="234">
        <f t="shared" ref="F83:H83" si="150">F70*F99</f>
        <v>28.003212301240232</v>
      </c>
      <c r="G83" s="234">
        <f t="shared" si="150"/>
        <v>30.412861445475919</v>
      </c>
      <c r="H83" s="234">
        <f t="shared" si="150"/>
        <v>31.844054925263023</v>
      </c>
      <c r="I83" s="234">
        <f t="shared" si="126"/>
        <v>30.162978967908185</v>
      </c>
      <c r="J83" s="234">
        <f t="shared" si="126"/>
        <v>28.378375218189547</v>
      </c>
      <c r="K83" s="234">
        <f t="shared" si="126"/>
        <v>28.852763781042402</v>
      </c>
      <c r="L83" s="234">
        <f t="shared" si="126"/>
        <v>33.440906036641188</v>
      </c>
      <c r="M83" s="234">
        <f t="shared" si="126"/>
        <v>41.85066920787574</v>
      </c>
      <c r="N83" s="234">
        <f t="shared" si="126"/>
        <v>54.117088703679066</v>
      </c>
      <c r="O83" s="8"/>
      <c r="P83" s="234">
        <f t="shared" si="137"/>
        <v>29.349067786255869</v>
      </c>
      <c r="Q83" s="234">
        <f t="shared" ref="Q83:V83" si="151">Q56</f>
        <v>30.162949303045053</v>
      </c>
      <c r="R83" s="234">
        <f t="shared" si="151"/>
        <v>28.378375218189547</v>
      </c>
      <c r="S83" s="234">
        <f t="shared" si="151"/>
        <v>28.855509269313302</v>
      </c>
      <c r="T83" s="234">
        <f t="shared" si="151"/>
        <v>33.440906036641188</v>
      </c>
      <c r="U83" s="234">
        <f t="shared" si="151"/>
        <v>41.85066920787574</v>
      </c>
      <c r="V83" s="234">
        <f t="shared" si="151"/>
        <v>54.117088703679066</v>
      </c>
      <c r="W83" s="8"/>
      <c r="X83" s="234">
        <f t="shared" si="139"/>
        <v>29.349067786255869</v>
      </c>
      <c r="Y83" s="234">
        <f t="shared" ref="Y83:AD83" si="152">Y56</f>
        <v>30.162949303045053</v>
      </c>
      <c r="Z83" s="234">
        <f t="shared" si="152"/>
        <v>28.378375218189547</v>
      </c>
      <c r="AA83" s="234">
        <f t="shared" si="152"/>
        <v>28.855509269313302</v>
      </c>
      <c r="AB83" s="234">
        <f t="shared" si="152"/>
        <v>31.768860734809127</v>
      </c>
      <c r="AC83" s="234">
        <f t="shared" si="152"/>
        <v>37.77022896010785</v>
      </c>
      <c r="AD83" s="234">
        <f t="shared" si="152"/>
        <v>46.398638927316831</v>
      </c>
      <c r="AE83" s="186"/>
      <c r="AF83" s="186"/>
      <c r="AG83" s="186"/>
      <c r="AH83" s="186"/>
      <c r="AI83" s="186"/>
      <c r="AJ83" s="186"/>
      <c r="AK83" s="186"/>
      <c r="AL83" s="186"/>
      <c r="AM83" s="186"/>
      <c r="AN83" s="186"/>
      <c r="AO83" s="186"/>
      <c r="AP83" s="186"/>
      <c r="AQ83" s="186"/>
      <c r="AR83" s="186"/>
      <c r="AS83" s="186"/>
    </row>
    <row r="84" spans="1:46">
      <c r="A84" s="185" t="s">
        <v>16</v>
      </c>
      <c r="B84" s="186" t="str">
        <f>B100</f>
        <v>TFHCV8</v>
      </c>
      <c r="C84" s="186" t="str">
        <f>C100</f>
        <v>Transport Freight - HCV8</v>
      </c>
      <c r="D84" s="185" t="s">
        <v>149</v>
      </c>
      <c r="E84" s="261">
        <v>1.371120760523014</v>
      </c>
      <c r="F84" s="234">
        <f t="shared" ref="F84:H84" si="153">F71*F100</f>
        <v>1.0763192990282064</v>
      </c>
      <c r="G84" s="234">
        <f t="shared" si="153"/>
        <v>1.4702862493909399</v>
      </c>
      <c r="H84" s="234">
        <f t="shared" si="153"/>
        <v>1.8779533896770146</v>
      </c>
      <c r="I84" s="234">
        <f t="shared" si="126"/>
        <v>1.159331152087278</v>
      </c>
      <c r="J84" s="234">
        <f t="shared" si="126"/>
        <v>1.0907388978745283</v>
      </c>
      <c r="K84" s="234">
        <f t="shared" si="126"/>
        <v>1.1089722905276336</v>
      </c>
      <c r="L84" s="234">
        <f t="shared" si="126"/>
        <v>1.2853201324560779</v>
      </c>
      <c r="M84" s="234">
        <f t="shared" si="126"/>
        <v>1.6085541351870973</v>
      </c>
      <c r="N84" s="234">
        <f t="shared" si="126"/>
        <v>2.0800209044735705</v>
      </c>
      <c r="O84" s="8"/>
      <c r="P84" s="234">
        <f t="shared" si="137"/>
        <v>1.12804801559981</v>
      </c>
      <c r="Q84" s="234">
        <f t="shared" ref="Q84:V84" si="154">Q57</f>
        <v>1.1593300119014898</v>
      </c>
      <c r="R84" s="234">
        <f t="shared" si="154"/>
        <v>1.0907388978745283</v>
      </c>
      <c r="S84" s="234">
        <f t="shared" si="154"/>
        <v>1.1090778149217437</v>
      </c>
      <c r="T84" s="234">
        <f t="shared" si="154"/>
        <v>1.2853201324560779</v>
      </c>
      <c r="U84" s="234">
        <f t="shared" si="154"/>
        <v>1.6085541351870973</v>
      </c>
      <c r="V84" s="234">
        <f t="shared" si="154"/>
        <v>2.0800209044735705</v>
      </c>
      <c r="W84" s="8"/>
      <c r="X84" s="234">
        <f t="shared" si="139"/>
        <v>1.12804801559981</v>
      </c>
      <c r="Y84" s="234">
        <f t="shared" ref="Y84:AD84" si="155">Y57</f>
        <v>1.1593300119014898</v>
      </c>
      <c r="Z84" s="234">
        <f t="shared" si="155"/>
        <v>1.0907388978745283</v>
      </c>
      <c r="AA84" s="234">
        <f t="shared" si="155"/>
        <v>1.1090778149217437</v>
      </c>
      <c r="AB84" s="234">
        <f t="shared" si="155"/>
        <v>1.2210541258332739</v>
      </c>
      <c r="AC84" s="234">
        <f t="shared" si="155"/>
        <v>1.4517201070063552</v>
      </c>
      <c r="AD84" s="234">
        <f t="shared" si="155"/>
        <v>1.7833579229730274</v>
      </c>
      <c r="AE84" s="186"/>
      <c r="AF84" s="186"/>
      <c r="AG84" s="186"/>
      <c r="AH84" s="186"/>
      <c r="AI84" s="186"/>
      <c r="AJ84" s="186"/>
      <c r="AK84" s="186"/>
      <c r="AL84" s="186"/>
      <c r="AM84" s="186"/>
      <c r="AN84" s="186"/>
      <c r="AO84" s="186"/>
      <c r="AP84" s="186"/>
      <c r="AQ84" s="186"/>
      <c r="AR84" s="186"/>
      <c r="AS84" s="186"/>
    </row>
    <row r="85" spans="1:46">
      <c r="A85" s="185" t="s">
        <v>16</v>
      </c>
      <c r="B85" s="186" t="str">
        <f t="shared" si="129"/>
        <v>TFHCV9</v>
      </c>
      <c r="C85" s="186" t="str">
        <f t="shared" si="129"/>
        <v>Transport Freight - HCV9</v>
      </c>
      <c r="D85" s="185" t="s">
        <v>149</v>
      </c>
      <c r="E85" s="261">
        <v>0.85603927035432403</v>
      </c>
      <c r="F85" s="234">
        <f t="shared" ref="F85:H85" si="156">F72*F101</f>
        <v>0.87560973396075781</v>
      </c>
      <c r="G85" s="234">
        <f t="shared" si="156"/>
        <v>0.49003657380877025</v>
      </c>
      <c r="H85" s="234">
        <f t="shared" si="156"/>
        <v>0.4966539831210422</v>
      </c>
      <c r="I85" s="234">
        <f t="shared" si="126"/>
        <v>0.94314172622204151</v>
      </c>
      <c r="J85" s="234">
        <f t="shared" si="126"/>
        <v>0.88734039894191019</v>
      </c>
      <c r="K85" s="234">
        <f t="shared" si="126"/>
        <v>0.90217367016969774</v>
      </c>
      <c r="L85" s="234">
        <f t="shared" si="126"/>
        <v>1.0456365692322114</v>
      </c>
      <c r="M85" s="234">
        <f t="shared" si="126"/>
        <v>1.3085946332508718</v>
      </c>
      <c r="N85" s="234">
        <f t="shared" si="126"/>
        <v>1.6921433560127854</v>
      </c>
      <c r="O85" s="8"/>
      <c r="P85" s="234">
        <f t="shared" si="137"/>
        <v>0.91769219759054577</v>
      </c>
      <c r="Q85" s="234">
        <f t="shared" ref="Q85:V85" si="157">Q58</f>
        <v>0.94314079865549549</v>
      </c>
      <c r="R85" s="234">
        <f t="shared" si="157"/>
        <v>0.88734039894191019</v>
      </c>
      <c r="S85" s="234">
        <f t="shared" si="157"/>
        <v>0.9022595166157632</v>
      </c>
      <c r="T85" s="234">
        <f t="shared" si="157"/>
        <v>1.0456365692322114</v>
      </c>
      <c r="U85" s="234">
        <f t="shared" si="157"/>
        <v>1.3085946332508718</v>
      </c>
      <c r="V85" s="234">
        <f t="shared" si="157"/>
        <v>1.6921433560127854</v>
      </c>
      <c r="W85" s="8"/>
      <c r="X85" s="234">
        <f t="shared" si="139"/>
        <v>0.91769219759054577</v>
      </c>
      <c r="Y85" s="234">
        <f t="shared" ref="Y85:AD85" si="158">Y58</f>
        <v>0.94314079865549549</v>
      </c>
      <c r="Z85" s="234">
        <f t="shared" si="158"/>
        <v>0.88734039894191019</v>
      </c>
      <c r="AA85" s="234">
        <f t="shared" si="158"/>
        <v>0.9022595166157632</v>
      </c>
      <c r="AB85" s="234">
        <f t="shared" si="158"/>
        <v>0.99335474077060071</v>
      </c>
      <c r="AC85" s="234">
        <f t="shared" si="158"/>
        <v>1.1810066565089117</v>
      </c>
      <c r="AD85" s="234">
        <f t="shared" si="158"/>
        <v>1.4508014098614619</v>
      </c>
      <c r="AE85" s="186"/>
      <c r="AF85" s="186"/>
      <c r="AG85" s="186"/>
      <c r="AH85" s="186"/>
      <c r="AI85" s="186"/>
      <c r="AJ85" s="186"/>
      <c r="AK85" s="186"/>
      <c r="AL85" s="186"/>
      <c r="AM85" s="186"/>
      <c r="AN85" s="186"/>
      <c r="AO85" s="186"/>
      <c r="AP85" s="186"/>
      <c r="AQ85" s="186"/>
      <c r="AR85" s="186"/>
      <c r="AS85" s="186"/>
    </row>
    <row r="86" spans="1:46">
      <c r="A86" s="185" t="s">
        <v>16</v>
      </c>
      <c r="B86" s="186" t="str">
        <f t="shared" si="129"/>
        <v>TFRCO</v>
      </c>
      <c r="C86" s="186" t="str">
        <f t="shared" si="129"/>
        <v>Transport Freight - Rail Corridor</v>
      </c>
      <c r="D86" s="185" t="s">
        <v>149</v>
      </c>
      <c r="E86" s="47"/>
      <c r="F86" s="234">
        <f t="shared" ref="F86:H86" si="159">F59</f>
        <v>22</v>
      </c>
      <c r="G86" s="234">
        <f t="shared" si="159"/>
        <v>23.057336578097942</v>
      </c>
      <c r="H86" s="234">
        <f t="shared" si="159"/>
        <v>23.440803697006192</v>
      </c>
      <c r="I86" s="234">
        <f t="shared" ref="I86:N86" si="160">I59</f>
        <v>23.696764862386523</v>
      </c>
      <c r="J86" s="234">
        <f t="shared" si="160"/>
        <v>22.294737049596232</v>
      </c>
      <c r="K86" s="234">
        <f t="shared" si="160"/>
        <v>22.667428163404651</v>
      </c>
      <c r="L86" s="234">
        <f t="shared" si="160"/>
        <v>26.271983545742081</v>
      </c>
      <c r="M86" s="234">
        <f t="shared" si="160"/>
        <v>32.878896630458648</v>
      </c>
      <c r="N86" s="234">
        <f t="shared" si="160"/>
        <v>42.515692081090613</v>
      </c>
      <c r="O86" s="8"/>
      <c r="P86" s="234">
        <f>P59</f>
        <v>23.057336578097942</v>
      </c>
      <c r="Q86" s="234">
        <f t="shared" ref="Q86:V86" si="161">Q59</f>
        <v>23.696741556953494</v>
      </c>
      <c r="R86" s="234">
        <f t="shared" si="161"/>
        <v>22.294737049596232</v>
      </c>
      <c r="S86" s="234">
        <f t="shared" si="161"/>
        <v>22.669585085307396</v>
      </c>
      <c r="T86" s="234">
        <f t="shared" si="161"/>
        <v>26.271983545742081</v>
      </c>
      <c r="U86" s="234">
        <f t="shared" si="161"/>
        <v>32.878896630458648</v>
      </c>
      <c r="V86" s="234">
        <f t="shared" si="161"/>
        <v>42.515692081090613</v>
      </c>
      <c r="W86" s="8"/>
      <c r="X86" s="234">
        <f>X59</f>
        <v>23.057336578097942</v>
      </c>
      <c r="Y86" s="234">
        <f>Y59</f>
        <v>23.696741556953494</v>
      </c>
      <c r="Z86" s="234">
        <f t="shared" ref="Z86:AD86" si="162">Z59</f>
        <v>22.294737049596232</v>
      </c>
      <c r="AA86" s="234">
        <f t="shared" si="162"/>
        <v>22.669585085307396</v>
      </c>
      <c r="AB86" s="234">
        <f t="shared" si="162"/>
        <v>35.2862171174568</v>
      </c>
      <c r="AC86" s="234">
        <f t="shared" si="162"/>
        <v>54.877129231275859</v>
      </c>
      <c r="AD86" s="234">
        <f t="shared" si="162"/>
        <v>84.126950471903442</v>
      </c>
      <c r="AE86" s="186"/>
      <c r="AF86" s="186"/>
      <c r="AG86" s="186"/>
      <c r="AH86" s="186"/>
      <c r="AI86" s="186"/>
      <c r="AJ86" s="186"/>
      <c r="AK86" s="186"/>
      <c r="AL86" s="186"/>
      <c r="AM86" s="186"/>
      <c r="AN86" s="186"/>
      <c r="AO86" s="186"/>
      <c r="AP86" s="186"/>
      <c r="AQ86" s="186"/>
      <c r="AR86" s="186"/>
      <c r="AS86" s="186"/>
    </row>
    <row r="87" spans="1:46">
      <c r="A87" s="185" t="s">
        <v>16</v>
      </c>
      <c r="B87" s="186" t="str">
        <f t="shared" si="129"/>
        <v>TFROT</v>
      </c>
      <c r="C87" s="186" t="str">
        <f t="shared" si="129"/>
        <v>Transport Freight - Rail Other</v>
      </c>
      <c r="D87" s="185" t="s">
        <v>149</v>
      </c>
      <c r="E87" s="47"/>
      <c r="F87" s="234">
        <f t="shared" ref="F87:H87" si="163">F47</f>
        <v>25.1</v>
      </c>
      <c r="G87" s="234">
        <f t="shared" si="163"/>
        <v>26.306324914102674</v>
      </c>
      <c r="H87" s="234">
        <f t="shared" si="163"/>
        <v>26.743826036129814</v>
      </c>
      <c r="I87" s="234">
        <f t="shared" ref="I87:N87" si="164">I47</f>
        <v>27.035854456631917</v>
      </c>
      <c r="J87" s="234">
        <f t="shared" si="164"/>
        <v>25.436268179312091</v>
      </c>
      <c r="K87" s="234">
        <f t="shared" si="164"/>
        <v>25.861474859157145</v>
      </c>
      <c r="L87" s="234">
        <f t="shared" si="164"/>
        <v>29.973944863551218</v>
      </c>
      <c r="M87" s="234">
        <f t="shared" si="164"/>
        <v>37.511832064750571</v>
      </c>
      <c r="N87" s="234">
        <f t="shared" si="164"/>
        <v>48.506539601607955</v>
      </c>
      <c r="O87" s="8"/>
      <c r="P87" s="234">
        <f>P47</f>
        <v>26.306324914102674</v>
      </c>
      <c r="Q87" s="234">
        <f t="shared" ref="Q87:V87" si="165">Q47</f>
        <v>27.035854456631917</v>
      </c>
      <c r="R87" s="234">
        <f t="shared" si="165"/>
        <v>25.436268179312091</v>
      </c>
      <c r="S87" s="234">
        <f t="shared" si="165"/>
        <v>25.863961147804282</v>
      </c>
      <c r="T87" s="234">
        <f t="shared" si="165"/>
        <v>29.973944863551218</v>
      </c>
      <c r="U87" s="234">
        <f t="shared" si="165"/>
        <v>37.511832064750571</v>
      </c>
      <c r="V87" s="234">
        <f t="shared" si="165"/>
        <v>48.506539601607955</v>
      </c>
      <c r="W87" s="8"/>
      <c r="X87" s="234">
        <f>X47</f>
        <v>26.306324914102674</v>
      </c>
      <c r="Y87" s="234">
        <f>Y47</f>
        <v>27.035854456631917</v>
      </c>
      <c r="Z87" s="234">
        <f t="shared" ref="Z87:AD87" si="166">Z47</f>
        <v>25.436268179312091</v>
      </c>
      <c r="AA87" s="234">
        <f t="shared" si="166"/>
        <v>25.863961147804282</v>
      </c>
      <c r="AB87" s="234">
        <f t="shared" si="166"/>
        <v>30.267257886466176</v>
      </c>
      <c r="AC87" s="234">
        <f t="shared" si="166"/>
        <v>38.227629814120924</v>
      </c>
      <c r="AD87" s="234">
        <f t="shared" si="166"/>
        <v>49.860523153154979</v>
      </c>
      <c r="AE87" s="186"/>
      <c r="AF87" s="186"/>
      <c r="AG87" s="186"/>
      <c r="AH87" s="186"/>
      <c r="AI87" s="186"/>
      <c r="AJ87" s="186"/>
      <c r="AK87" s="186"/>
      <c r="AL87" s="186"/>
      <c r="AM87" s="186"/>
      <c r="AN87" s="186"/>
      <c r="AO87" s="186"/>
      <c r="AP87" s="186"/>
      <c r="AQ87" s="186"/>
      <c r="AR87" s="186"/>
      <c r="AS87" s="186"/>
    </row>
    <row r="88" spans="1:46">
      <c r="A88" s="185" t="s">
        <v>16</v>
      </c>
      <c r="B88" s="186" t="str">
        <f t="shared" si="129"/>
        <v>TFREX</v>
      </c>
      <c r="C88" s="186" t="str">
        <f t="shared" si="129"/>
        <v>Transport Freight - Rail Export (bulk mining)</v>
      </c>
      <c r="D88" s="185" t="s">
        <v>149</v>
      </c>
      <c r="F88" s="234">
        <f t="shared" ref="F88:H88" si="167">F104</f>
        <v>82</v>
      </c>
      <c r="G88" s="234">
        <f t="shared" si="167"/>
        <v>82</v>
      </c>
      <c r="H88" s="234">
        <f t="shared" si="167"/>
        <v>82</v>
      </c>
      <c r="I88" s="234">
        <f t="shared" ref="I88:N88" si="168">I104</f>
        <v>83.472345553875911</v>
      </c>
      <c r="J88" s="234">
        <f t="shared" si="168"/>
        <v>75.296230147600639</v>
      </c>
      <c r="K88" s="234">
        <f t="shared" si="168"/>
        <v>79.105852655656577</v>
      </c>
      <c r="L88" s="234">
        <f t="shared" si="168"/>
        <v>88.040877070249081</v>
      </c>
      <c r="M88" s="234">
        <f t="shared" si="168"/>
        <v>106.52661741121335</v>
      </c>
      <c r="N88" s="234">
        <f t="shared" si="168"/>
        <v>129.58709683179265</v>
      </c>
      <c r="O88" s="8"/>
      <c r="P88" s="234">
        <f>F104</f>
        <v>82</v>
      </c>
      <c r="Q88" s="234">
        <f t="shared" ref="Q88:V88" si="169">G104</f>
        <v>82</v>
      </c>
      <c r="R88" s="234">
        <f t="shared" si="169"/>
        <v>82</v>
      </c>
      <c r="S88" s="234">
        <f t="shared" si="169"/>
        <v>83.472345553875911</v>
      </c>
      <c r="T88" s="234">
        <f t="shared" si="169"/>
        <v>75.296230147600639</v>
      </c>
      <c r="U88" s="234">
        <f t="shared" si="169"/>
        <v>79.105852655656577</v>
      </c>
      <c r="V88" s="234">
        <f t="shared" si="169"/>
        <v>88.040877070249081</v>
      </c>
      <c r="W88" s="8"/>
      <c r="X88" s="234">
        <f>P88</f>
        <v>82</v>
      </c>
      <c r="Y88" s="234">
        <f>Q88</f>
        <v>82</v>
      </c>
      <c r="Z88" s="234">
        <f t="shared" ref="Z88:AD88" si="170">R88</f>
        <v>82</v>
      </c>
      <c r="AA88" s="234">
        <f t="shared" si="170"/>
        <v>83.472345553875911</v>
      </c>
      <c r="AB88" s="234">
        <f t="shared" si="170"/>
        <v>75.296230147600639</v>
      </c>
      <c r="AC88" s="234">
        <f t="shared" si="170"/>
        <v>79.105852655656577</v>
      </c>
      <c r="AD88" s="234">
        <f t="shared" si="170"/>
        <v>88.040877070249081</v>
      </c>
      <c r="AE88" s="186"/>
      <c r="AF88" s="186"/>
      <c r="AG88" s="186"/>
      <c r="AH88" s="186"/>
      <c r="AI88" s="186"/>
      <c r="AJ88" s="186"/>
      <c r="AK88" s="186"/>
      <c r="AL88" s="186"/>
      <c r="AM88" s="186"/>
      <c r="AN88" s="186"/>
      <c r="AO88" s="186"/>
      <c r="AP88" s="186"/>
      <c r="AQ88" s="186"/>
      <c r="AR88" s="186"/>
      <c r="AS88" s="186"/>
    </row>
    <row r="89" spans="1:46">
      <c r="A89" s="185" t="s">
        <v>16</v>
      </c>
      <c r="C89" s="5" t="s">
        <v>211</v>
      </c>
      <c r="E89" s="262">
        <f>SUM(E76:E85)-SUM(G76:G85)</f>
        <v>35.355410614896385</v>
      </c>
      <c r="F89" s="79">
        <f t="shared" ref="F89:K89" si="171">SUM(F76:F88)</f>
        <v>302.13354210944328</v>
      </c>
      <c r="G89" s="79">
        <f t="shared" si="171"/>
        <v>327.40754653866895</v>
      </c>
      <c r="H89" s="79">
        <f t="shared" si="171"/>
        <v>343.67012496616258</v>
      </c>
      <c r="I89" s="79">
        <f t="shared" si="171"/>
        <v>320.58383581259153</v>
      </c>
      <c r="J89" s="79">
        <f t="shared" si="171"/>
        <v>298.37893183515797</v>
      </c>
      <c r="K89" s="79">
        <f t="shared" si="171"/>
        <v>305.91772775209392</v>
      </c>
      <c r="L89" s="79">
        <f t="shared" ref="L89:N89" si="172">SUM(L76:L88)</f>
        <v>350.9201859868499</v>
      </c>
      <c r="M89" s="79">
        <f t="shared" si="172"/>
        <v>435.51516177090008</v>
      </c>
      <c r="N89" s="79">
        <f t="shared" si="172"/>
        <v>555.00209197019683</v>
      </c>
      <c r="O89" s="79"/>
      <c r="P89" s="79">
        <f t="shared" ref="P89:V89" si="173">SUM(P76:P88)</f>
        <v>312.71332602483335</v>
      </c>
      <c r="Q89" s="79">
        <f t="shared" si="173"/>
        <v>319.11130702579442</v>
      </c>
      <c r="R89" s="79">
        <f t="shared" si="173"/>
        <v>305.08270168755735</v>
      </c>
      <c r="S89" s="79">
        <f t="shared" si="173"/>
        <v>310.30415177436197</v>
      </c>
      <c r="T89" s="79">
        <f t="shared" si="173"/>
        <v>338.17553906420147</v>
      </c>
      <c r="U89" s="79">
        <f t="shared" si="173"/>
        <v>408.0943970153433</v>
      </c>
      <c r="V89" s="79">
        <f t="shared" si="173"/>
        <v>513.4558722086532</v>
      </c>
      <c r="W89" s="79"/>
      <c r="X89" s="79">
        <f t="shared" ref="X89:AD89" si="174">SUM(X76:X88)</f>
        <v>312.71332602483335</v>
      </c>
      <c r="Y89" s="79">
        <f t="shared" si="174"/>
        <v>319.11130702579442</v>
      </c>
      <c r="Z89" s="79">
        <f t="shared" si="174"/>
        <v>305.08270168755735</v>
      </c>
      <c r="AA89" s="79">
        <f t="shared" si="174"/>
        <v>310.30415177436197</v>
      </c>
      <c r="AB89" s="79">
        <f t="shared" si="174"/>
        <v>338.17553906420147</v>
      </c>
      <c r="AC89" s="79">
        <f t="shared" si="174"/>
        <v>408.0943970153433</v>
      </c>
      <c r="AD89" s="79">
        <f t="shared" si="174"/>
        <v>513.45587220865332</v>
      </c>
    </row>
    <row r="90" spans="1:46">
      <c r="A90" s="185" t="s">
        <v>16</v>
      </c>
      <c r="N90" s="185">
        <f>N89/F89</f>
        <v>1.8369429891672067</v>
      </c>
      <c r="P90" s="5" t="s">
        <v>41</v>
      </c>
      <c r="X90" s="5" t="s">
        <v>197</v>
      </c>
    </row>
    <row r="91" spans="1:46" ht="15.75" thickBot="1">
      <c r="A91" s="185" t="s">
        <v>16</v>
      </c>
      <c r="B91" s="14" t="s">
        <v>209</v>
      </c>
      <c r="C91" s="14"/>
      <c r="D91" s="14"/>
      <c r="F91" s="185">
        <f t="shared" ref="F91:K91" si="175">F$4</f>
        <v>2012</v>
      </c>
      <c r="G91" s="185">
        <f t="shared" si="175"/>
        <v>2015</v>
      </c>
      <c r="H91" s="185">
        <f t="shared" si="175"/>
        <v>2017</v>
      </c>
      <c r="I91" s="283">
        <f t="shared" si="175"/>
        <v>2019</v>
      </c>
      <c r="J91" s="283">
        <f t="shared" si="175"/>
        <v>2020</v>
      </c>
      <c r="K91" s="283">
        <f t="shared" si="175"/>
        <v>2021</v>
      </c>
      <c r="L91" s="185">
        <f>L$4</f>
        <v>2030</v>
      </c>
      <c r="M91" s="185">
        <f>M$4</f>
        <v>2040</v>
      </c>
      <c r="N91" s="185">
        <f>N$4</f>
        <v>2050</v>
      </c>
      <c r="P91" s="7">
        <f>P75</f>
        <v>2015</v>
      </c>
      <c r="Q91" s="7">
        <f t="shared" ref="Q91:T91" si="176">Q75</f>
        <v>2019</v>
      </c>
      <c r="R91" s="7">
        <f t="shared" si="176"/>
        <v>2020</v>
      </c>
      <c r="S91" s="7">
        <f t="shared" si="176"/>
        <v>2021</v>
      </c>
      <c r="T91" s="7">
        <f t="shared" si="176"/>
        <v>2030</v>
      </c>
      <c r="U91" s="7">
        <f>U75</f>
        <v>2040</v>
      </c>
      <c r="V91" s="7">
        <f>V75</f>
        <v>2050</v>
      </c>
      <c r="W91" s="287"/>
      <c r="X91" s="7">
        <f>X75</f>
        <v>2015</v>
      </c>
      <c r="Y91" s="7">
        <f t="shared" ref="Y91:AA91" si="177">Y75</f>
        <v>2019</v>
      </c>
      <c r="Z91" s="7">
        <f t="shared" si="177"/>
        <v>2020</v>
      </c>
      <c r="AA91" s="7">
        <f t="shared" si="177"/>
        <v>2021</v>
      </c>
      <c r="AB91" s="7">
        <f>AB75</f>
        <v>2030</v>
      </c>
      <c r="AC91" s="7">
        <f>AC75</f>
        <v>2040</v>
      </c>
      <c r="AD91" s="7">
        <f>AD75</f>
        <v>2050</v>
      </c>
    </row>
    <row r="92" spans="1:46">
      <c r="A92" s="185" t="s">
        <v>16</v>
      </c>
      <c r="B92" s="186" t="str">
        <f>'[2]TS BYDem'!D19</f>
        <v>TFLCV</v>
      </c>
      <c r="C92" s="186" t="str">
        <f>C13</f>
        <v>Transport Freight - LCV</v>
      </c>
      <c r="D92" s="185" t="s">
        <v>150</v>
      </c>
      <c r="F92" s="235">
        <v>43.112503750568798</v>
      </c>
      <c r="G92" s="236">
        <v>44.4</v>
      </c>
      <c r="H92" s="186">
        <v>45.342821165621402</v>
      </c>
      <c r="I92" s="186">
        <f t="shared" ref="I92:N92" si="178">I43/I63</f>
        <v>46.437584727544852</v>
      </c>
      <c r="J92" s="186">
        <f t="shared" si="178"/>
        <v>43.690087939484705</v>
      </c>
      <c r="K92" s="10">
        <f t="shared" si="178"/>
        <v>44.420435532296942</v>
      </c>
      <c r="L92" s="10">
        <f t="shared" si="178"/>
        <v>51.484135870485822</v>
      </c>
      <c r="M92" s="10">
        <f t="shared" si="178"/>
        <v>64.431434286146057</v>
      </c>
      <c r="N92" s="10">
        <f t="shared" si="178"/>
        <v>83.316269741093109</v>
      </c>
      <c r="P92" s="10">
        <f>P76/P63</f>
        <v>45.18452316824434</v>
      </c>
      <c r="Q92" s="10">
        <f t="shared" ref="Q92:V92" si="179">Q76/Q63</f>
        <v>46.437584727544852</v>
      </c>
      <c r="R92" s="10">
        <f t="shared" si="179"/>
        <v>43.690087939484705</v>
      </c>
      <c r="S92" s="10">
        <f t="shared" si="179"/>
        <v>44.420435532296942</v>
      </c>
      <c r="T92" s="10">
        <f t="shared" si="179"/>
        <v>51.484135870485822</v>
      </c>
      <c r="U92" s="10">
        <f t="shared" si="179"/>
        <v>64.431434286146057</v>
      </c>
      <c r="V92" s="10">
        <f t="shared" si="179"/>
        <v>83.316269741093109</v>
      </c>
      <c r="W92" s="287"/>
      <c r="X92" s="10">
        <f>P92</f>
        <v>45.18452316824434</v>
      </c>
      <c r="Y92" s="10">
        <f t="shared" ref="Y92:AA92" si="180">Q92</f>
        <v>46.437584727544852</v>
      </c>
      <c r="Z92" s="10">
        <f t="shared" si="180"/>
        <v>43.690087939484705</v>
      </c>
      <c r="AA92" s="10">
        <f t="shared" si="180"/>
        <v>44.420435532296942</v>
      </c>
      <c r="AB92" s="10">
        <f t="shared" ref="AB92:AD92" si="181">AB76/AB63</f>
        <v>51.484135870485822</v>
      </c>
      <c r="AC92" s="10">
        <f t="shared" si="181"/>
        <v>64.431434286146057</v>
      </c>
      <c r="AD92" s="10">
        <f t="shared" si="181"/>
        <v>83.316269741093109</v>
      </c>
    </row>
    <row r="93" spans="1:46">
      <c r="A93" s="185" t="s">
        <v>16</v>
      </c>
      <c r="B93" s="186" t="str">
        <f>'[2]TS BYDem'!D20</f>
        <v>TFHCV1</v>
      </c>
      <c r="C93" s="186" t="str">
        <f t="shared" ref="C93:C99" si="182">C14</f>
        <v>Transport Freight - HCV1</v>
      </c>
      <c r="D93" s="185" t="s">
        <v>150</v>
      </c>
      <c r="F93" s="235">
        <v>3.31</v>
      </c>
      <c r="G93" s="10">
        <v>3.4</v>
      </c>
      <c r="H93" s="10">
        <v>3.45</v>
      </c>
      <c r="I93" s="10">
        <f t="shared" ref="I93:N93" si="183">I46/I64</f>
        <v>3.5652859861136119</v>
      </c>
      <c r="J93" s="10">
        <f t="shared" si="183"/>
        <v>3.3543445288256186</v>
      </c>
      <c r="K93" s="10">
        <f>K46/K64</f>
        <v>3.4104176009486125</v>
      </c>
      <c r="L93" s="10">
        <f>L46/L64</f>
        <v>3.9527393425639263</v>
      </c>
      <c r="M93" s="10">
        <f t="shared" si="183"/>
        <v>4.9467794475826459</v>
      </c>
      <c r="N93" s="10">
        <f t="shared" si="183"/>
        <v>6.3966791267459104</v>
      </c>
      <c r="P93" s="10">
        <f t="shared" ref="P93:V100" si="184">P77/P64</f>
        <v>3.469081094250194</v>
      </c>
      <c r="Q93" s="10">
        <f t="shared" si="184"/>
        <v>3.5652859861136119</v>
      </c>
      <c r="R93" s="10">
        <f t="shared" si="184"/>
        <v>3.3543445288256186</v>
      </c>
      <c r="S93" s="10">
        <f t="shared" si="184"/>
        <v>3.4107454740729954</v>
      </c>
      <c r="T93" s="10">
        <f t="shared" si="184"/>
        <v>3.9527393425639263</v>
      </c>
      <c r="U93" s="10">
        <f t="shared" si="184"/>
        <v>4.9467794475826459</v>
      </c>
      <c r="V93" s="10">
        <f t="shared" si="184"/>
        <v>6.3966791267459104</v>
      </c>
      <c r="W93" s="287"/>
      <c r="X93" s="10">
        <f t="shared" ref="X93:X101" si="185">P93</f>
        <v>3.469081094250194</v>
      </c>
      <c r="Y93" s="10">
        <f t="shared" ref="Y93:Y101" si="186">Q93</f>
        <v>3.5652859861136119</v>
      </c>
      <c r="Z93" s="10">
        <f t="shared" ref="Z93:Z101" si="187">R93</f>
        <v>3.3543445288256186</v>
      </c>
      <c r="AA93" s="10">
        <f t="shared" ref="AA93:AA101" si="188">S93</f>
        <v>3.4107454740729954</v>
      </c>
      <c r="AB93" s="10">
        <f t="shared" ref="AB93:AD93" si="189">AB77/AB64</f>
        <v>3.7551023754357296</v>
      </c>
      <c r="AC93" s="10">
        <f t="shared" si="189"/>
        <v>4.464468451443337</v>
      </c>
      <c r="AD93" s="10">
        <f t="shared" si="189"/>
        <v>5.4843527662937746</v>
      </c>
    </row>
    <row r="94" spans="1:46">
      <c r="A94" s="185" t="s">
        <v>16</v>
      </c>
      <c r="B94" s="186" t="str">
        <f>'[2]TS BYDem'!D21</f>
        <v>TFHCV2</v>
      </c>
      <c r="C94" s="186" t="str">
        <f t="shared" si="182"/>
        <v>Transport Freight - HCV2</v>
      </c>
      <c r="D94" s="185" t="s">
        <v>150</v>
      </c>
      <c r="F94" s="235">
        <v>0.65478395407088008</v>
      </c>
      <c r="G94" s="10">
        <v>0.704124436203308</v>
      </c>
      <c r="H94" s="10">
        <v>0.73600943824652509</v>
      </c>
      <c r="I94" s="10">
        <f t="shared" ref="I94:N94" si="190">I51/I65</f>
        <v>0.70528460887642519</v>
      </c>
      <c r="J94" s="10">
        <f t="shared" si="190"/>
        <v>0.66355618546841733</v>
      </c>
      <c r="K94" s="10">
        <f t="shared" si="190"/>
        <v>0.6746485564296244</v>
      </c>
      <c r="L94" s="10">
        <f t="shared" si="190"/>
        <v>0.78193060306209605</v>
      </c>
      <c r="M94" s="10">
        <f t="shared" si="190"/>
        <v>0.97857154278088487</v>
      </c>
      <c r="N94" s="10">
        <f t="shared" si="190"/>
        <v>1.2653905895871154</v>
      </c>
      <c r="P94" s="10">
        <f t="shared" si="184"/>
        <v>0.68625336431591455</v>
      </c>
      <c r="Q94" s="10">
        <f t="shared" si="184"/>
        <v>0.70528391523898926</v>
      </c>
      <c r="R94" s="10">
        <f t="shared" si="184"/>
        <v>0.66355618546841733</v>
      </c>
      <c r="S94" s="10">
        <f t="shared" si="184"/>
        <v>0.67471275269562903</v>
      </c>
      <c r="T94" s="10">
        <f t="shared" si="184"/>
        <v>0.78193060306209605</v>
      </c>
      <c r="U94" s="10">
        <f t="shared" si="184"/>
        <v>0.97857154278088487</v>
      </c>
      <c r="V94" s="10">
        <f t="shared" si="184"/>
        <v>1.2653905895871154</v>
      </c>
      <c r="W94" s="287"/>
      <c r="X94" s="10">
        <f t="shared" si="185"/>
        <v>0.68625336431591455</v>
      </c>
      <c r="Y94" s="10">
        <f t="shared" si="186"/>
        <v>0.70528391523898926</v>
      </c>
      <c r="Z94" s="10">
        <f t="shared" si="187"/>
        <v>0.66355618546841733</v>
      </c>
      <c r="AA94" s="10">
        <f t="shared" si="188"/>
        <v>0.67471275269562903</v>
      </c>
      <c r="AB94" s="10">
        <f t="shared" ref="AB94:AD94" si="191">AB78/AB65</f>
        <v>0.74283407290899128</v>
      </c>
      <c r="AC94" s="10">
        <f t="shared" si="191"/>
        <v>0.88316081735974861</v>
      </c>
      <c r="AD94" s="10">
        <f t="shared" si="191"/>
        <v>1.0849142567472529</v>
      </c>
    </row>
    <row r="95" spans="1:46">
      <c r="A95" s="185" t="s">
        <v>16</v>
      </c>
      <c r="B95" s="186" t="str">
        <f>'[2]TS BYDem'!D22</f>
        <v>TFHCV3</v>
      </c>
      <c r="C95" s="186" t="str">
        <f t="shared" si="182"/>
        <v>Transport Freight - HCV3</v>
      </c>
      <c r="D95" s="185" t="s">
        <v>150</v>
      </c>
      <c r="F95" s="235">
        <v>2.7114063478211299</v>
      </c>
      <c r="G95" s="10">
        <v>2.9</v>
      </c>
      <c r="H95" s="10">
        <v>3.0305969254191498</v>
      </c>
      <c r="I95" s="10">
        <f t="shared" ref="I95" si="192">I52/I66</f>
        <v>2.9205253941227078</v>
      </c>
      <c r="J95" s="10">
        <f t="shared" ref="J95:J101" si="193">J52/J66</f>
        <v>2.7477314345126453</v>
      </c>
      <c r="K95" s="10">
        <f t="shared" ref="K95:N101" si="194">K52/K66</f>
        <v>2.7936640277743123</v>
      </c>
      <c r="L95" s="10">
        <f t="shared" si="194"/>
        <v>3.2379101343535184</v>
      </c>
      <c r="M95" s="10">
        <f t="shared" si="194"/>
        <v>4.0521840469627461</v>
      </c>
      <c r="N95" s="10">
        <f t="shared" si="194"/>
        <v>5.2398780632126236</v>
      </c>
      <c r="P95" s="10">
        <f t="shared" si="184"/>
        <v>2.8417185800774152</v>
      </c>
      <c r="Q95" s="10">
        <f t="shared" si="184"/>
        <v>2.9205225218272961</v>
      </c>
      <c r="R95" s="10">
        <f t="shared" si="184"/>
        <v>2.7477314345126453</v>
      </c>
      <c r="S95" s="10">
        <f t="shared" si="184"/>
        <v>2.7939298592169877</v>
      </c>
      <c r="T95" s="10">
        <f t="shared" si="184"/>
        <v>3.2379101343535184</v>
      </c>
      <c r="U95" s="10">
        <f t="shared" si="184"/>
        <v>4.0521840469627461</v>
      </c>
      <c r="V95" s="10">
        <f t="shared" si="184"/>
        <v>5.2398780632126236</v>
      </c>
      <c r="W95" s="287"/>
      <c r="X95" s="10">
        <f t="shared" si="185"/>
        <v>2.8417185800774152</v>
      </c>
      <c r="Y95" s="10">
        <f t="shared" si="186"/>
        <v>2.9205225218272961</v>
      </c>
      <c r="Z95" s="10">
        <f t="shared" si="187"/>
        <v>2.7477314345126453</v>
      </c>
      <c r="AA95" s="10">
        <f t="shared" si="188"/>
        <v>2.7939298592169877</v>
      </c>
      <c r="AB95" s="10">
        <f t="shared" ref="AB95:AD95" si="195">AB79/AB66</f>
        <v>3.0760146276358427</v>
      </c>
      <c r="AC95" s="10">
        <f t="shared" si="195"/>
        <v>3.6570961023838775</v>
      </c>
      <c r="AD95" s="10">
        <f t="shared" si="195"/>
        <v>4.4925404544469227</v>
      </c>
    </row>
    <row r="96" spans="1:46">
      <c r="A96" s="185" t="s">
        <v>16</v>
      </c>
      <c r="B96" s="186" t="str">
        <f>'[2]TS BYDem'!D23</f>
        <v>TFHCV4</v>
      </c>
      <c r="C96" s="186" t="str">
        <f t="shared" si="182"/>
        <v>Transport Freight - HCV4</v>
      </c>
      <c r="D96" s="185" t="s">
        <v>150</v>
      </c>
      <c r="F96" s="235">
        <v>0.57023972229676601</v>
      </c>
      <c r="G96" s="186">
        <v>0.53653175775760331</v>
      </c>
      <c r="H96" s="186">
        <v>0.54380700000000004</v>
      </c>
      <c r="I96" s="10">
        <f t="shared" ref="I96" si="196">I53/I67</f>
        <v>0.6142198461117756</v>
      </c>
      <c r="J96" s="10">
        <f t="shared" si="193"/>
        <v>0.57787930290187206</v>
      </c>
      <c r="K96" s="10">
        <f t="shared" si="194"/>
        <v>0.58753945186735324</v>
      </c>
      <c r="L96" s="10">
        <f t="shared" si="194"/>
        <v>0.68096948187769002</v>
      </c>
      <c r="M96" s="10">
        <f t="shared" si="194"/>
        <v>0.85222058563531045</v>
      </c>
      <c r="N96" s="10">
        <f t="shared" si="194"/>
        <v>1.1020062020716337</v>
      </c>
      <c r="P96" s="10">
        <f t="shared" si="184"/>
        <v>0.5976458730544385</v>
      </c>
      <c r="Q96" s="10">
        <f t="shared" si="184"/>
        <v>0.6142192420352458</v>
      </c>
      <c r="R96" s="10">
        <f t="shared" si="184"/>
        <v>0.57787930290187206</v>
      </c>
      <c r="S96" s="10">
        <f t="shared" si="184"/>
        <v>0.58759535925584583</v>
      </c>
      <c r="T96" s="10">
        <f t="shared" si="184"/>
        <v>0.68096948187769002</v>
      </c>
      <c r="U96" s="10">
        <f t="shared" si="184"/>
        <v>0.85222058563531045</v>
      </c>
      <c r="V96" s="10">
        <f t="shared" si="184"/>
        <v>1.1020062020716337</v>
      </c>
      <c r="W96" s="287"/>
      <c r="X96" s="10">
        <f t="shared" si="185"/>
        <v>0.5976458730544385</v>
      </c>
      <c r="Y96" s="10">
        <f t="shared" si="186"/>
        <v>0.6142192420352458</v>
      </c>
      <c r="Z96" s="10">
        <f t="shared" si="187"/>
        <v>0.57787930290187206</v>
      </c>
      <c r="AA96" s="10">
        <f t="shared" si="188"/>
        <v>0.58759535925584583</v>
      </c>
      <c r="AB96" s="10">
        <f t="shared" ref="AB96:AD96" si="197">AB80/AB67</f>
        <v>0.64692100778380557</v>
      </c>
      <c r="AC96" s="10">
        <f t="shared" si="197"/>
        <v>0.76912907853586765</v>
      </c>
      <c r="AD96" s="10">
        <f t="shared" si="197"/>
        <v>0.94483256750116684</v>
      </c>
    </row>
    <row r="97" spans="1:78">
      <c r="A97" s="185" t="s">
        <v>16</v>
      </c>
      <c r="B97" s="186" t="str">
        <f>'[2]TS BYDem'!D24</f>
        <v>TFHCV5</v>
      </c>
      <c r="C97" s="186" t="str">
        <f t="shared" si="182"/>
        <v>Transport Freight - HCV5</v>
      </c>
      <c r="D97" s="185" t="s">
        <v>150</v>
      </c>
      <c r="F97" s="235">
        <v>0.27326501935541303</v>
      </c>
      <c r="G97" s="10">
        <v>0.28568357599999999</v>
      </c>
      <c r="H97" s="10">
        <v>0.289557377</v>
      </c>
      <c r="I97" s="10">
        <f t="shared" ref="I97" si="198">I54/I68</f>
        <v>0.29434076858094221</v>
      </c>
      <c r="J97" s="10">
        <f t="shared" si="193"/>
        <v>0.27692598869917107</v>
      </c>
      <c r="K97" s="10">
        <f t="shared" si="194"/>
        <v>0.28155523617319139</v>
      </c>
      <c r="L97" s="10">
        <f t="shared" si="194"/>
        <v>0.32632791327874128</v>
      </c>
      <c r="M97" s="10">
        <f t="shared" si="194"/>
        <v>0.40839328745940517</v>
      </c>
      <c r="N97" s="10">
        <f t="shared" si="194"/>
        <v>0.52809324633854615</v>
      </c>
      <c r="P97" s="10">
        <f t="shared" si="184"/>
        <v>0.28639834210446419</v>
      </c>
      <c r="Q97" s="10">
        <f t="shared" si="184"/>
        <v>0.29434047910096006</v>
      </c>
      <c r="R97" s="10">
        <f t="shared" si="184"/>
        <v>0.27692598869917107</v>
      </c>
      <c r="S97" s="10">
        <f t="shared" si="184"/>
        <v>0.28158202759616874</v>
      </c>
      <c r="T97" s="10">
        <f t="shared" si="184"/>
        <v>0.32632791327874128</v>
      </c>
      <c r="U97" s="10">
        <f t="shared" si="184"/>
        <v>0.40839328745940517</v>
      </c>
      <c r="V97" s="10">
        <f t="shared" si="184"/>
        <v>0.52809324633854615</v>
      </c>
      <c r="W97" s="287"/>
      <c r="X97" s="10">
        <f t="shared" si="185"/>
        <v>0.28639834210446419</v>
      </c>
      <c r="Y97" s="10">
        <f t="shared" si="186"/>
        <v>0.29434047910096006</v>
      </c>
      <c r="Z97" s="10">
        <f t="shared" si="187"/>
        <v>0.27692598869917107</v>
      </c>
      <c r="AA97" s="10">
        <f t="shared" si="188"/>
        <v>0.28158202759616874</v>
      </c>
      <c r="AB97" s="10">
        <f t="shared" ref="AB97:AD97" si="199">AB81/AB68</f>
        <v>0.31001151761480422</v>
      </c>
      <c r="AC97" s="10">
        <f t="shared" si="199"/>
        <v>0.36857494193211315</v>
      </c>
      <c r="AD97" s="10">
        <f t="shared" si="199"/>
        <v>0.45277394707951096</v>
      </c>
    </row>
    <row r="98" spans="1:78">
      <c r="A98" s="185" t="s">
        <v>16</v>
      </c>
      <c r="B98" s="186" t="str">
        <f>'[2]TS BYDem'!D25</f>
        <v>TFHCV6</v>
      </c>
      <c r="C98" s="186" t="str">
        <f t="shared" si="182"/>
        <v>Transport Freight - HCV6</v>
      </c>
      <c r="D98" s="185" t="s">
        <v>150</v>
      </c>
      <c r="F98" s="235">
        <v>5.0361375113209599</v>
      </c>
      <c r="G98" s="10">
        <v>6.01</v>
      </c>
      <c r="H98" s="10">
        <v>6.6407838452289196</v>
      </c>
      <c r="I98" s="10">
        <f>I55/I69</f>
        <v>5.4245530191098785</v>
      </c>
      <c r="J98" s="10">
        <f>J55/J69</f>
        <v>5.1036073436594931</v>
      </c>
      <c r="K98" s="10">
        <f t="shared" si="194"/>
        <v>5.188922057222519</v>
      </c>
      <c r="L98" s="10">
        <f t="shared" si="194"/>
        <v>6.0140600832508548</v>
      </c>
      <c r="M98" s="10">
        <f t="shared" si="194"/>
        <v>7.5264838477953289</v>
      </c>
      <c r="N98" s="10">
        <f t="shared" si="194"/>
        <v>9.7324941686069124</v>
      </c>
      <c r="P98" s="10">
        <f t="shared" si="184"/>
        <v>5.2781780750959992</v>
      </c>
      <c r="Q98" s="10">
        <f t="shared" si="184"/>
        <v>5.4245476841387186</v>
      </c>
      <c r="R98" s="10">
        <f t="shared" si="184"/>
        <v>5.1036073436594931</v>
      </c>
      <c r="S98" s="10">
        <f t="shared" si="184"/>
        <v>5.1894158097363094</v>
      </c>
      <c r="T98" s="10">
        <f t="shared" si="184"/>
        <v>6.0140600832508548</v>
      </c>
      <c r="U98" s="10">
        <f t="shared" si="184"/>
        <v>7.5264838477953289</v>
      </c>
      <c r="V98" s="10">
        <f t="shared" si="184"/>
        <v>9.7324941686069124</v>
      </c>
      <c r="W98" s="287"/>
      <c r="X98" s="10">
        <f t="shared" si="185"/>
        <v>5.2781780750959992</v>
      </c>
      <c r="Y98" s="10">
        <f t="shared" si="186"/>
        <v>5.4245476841387186</v>
      </c>
      <c r="Z98" s="10">
        <f t="shared" si="187"/>
        <v>5.1036073436594931</v>
      </c>
      <c r="AA98" s="10">
        <f t="shared" si="188"/>
        <v>5.1894158097363094</v>
      </c>
      <c r="AB98" s="10">
        <f t="shared" ref="AB98:AD98" si="200">AB82/AB69</f>
        <v>5.7133570790883121</v>
      </c>
      <c r="AC98" s="10">
        <f t="shared" si="200"/>
        <v>6.7926516726352837</v>
      </c>
      <c r="AD98" s="10">
        <f t="shared" si="200"/>
        <v>8.3443971878093492</v>
      </c>
    </row>
    <row r="99" spans="1:78">
      <c r="A99" s="185" t="s">
        <v>16</v>
      </c>
      <c r="B99" s="186" t="str">
        <f>'[2]TS BYDem'!D26</f>
        <v>TFHCV7</v>
      </c>
      <c r="C99" s="186" t="str">
        <f t="shared" si="182"/>
        <v>Transport Freight - HCV7</v>
      </c>
      <c r="D99" s="185" t="s">
        <v>150</v>
      </c>
      <c r="F99" s="235">
        <v>1.5653068685251901</v>
      </c>
      <c r="G99" s="10">
        <v>1.7</v>
      </c>
      <c r="H99" s="10">
        <v>1.78</v>
      </c>
      <c r="I99" s="10">
        <f t="shared" ref="I99" si="201">I56/I70</f>
        <v>1.6860322182236378</v>
      </c>
      <c r="J99" s="10">
        <f t="shared" si="193"/>
        <v>1.5862775016225472</v>
      </c>
      <c r="K99" s="10">
        <f t="shared" si="194"/>
        <v>1.6127945907263026</v>
      </c>
      <c r="L99" s="10">
        <f t="shared" si="194"/>
        <v>1.8692598315423128</v>
      </c>
      <c r="M99" s="10">
        <f t="shared" si="194"/>
        <v>2.3393437602357583</v>
      </c>
      <c r="N99" s="10">
        <f t="shared" si="194"/>
        <v>3.0250047652106007</v>
      </c>
      <c r="P99" s="10">
        <f t="shared" si="184"/>
        <v>1.6405366961633561</v>
      </c>
      <c r="Q99" s="10">
        <f t="shared" si="184"/>
        <v>1.6860305600348016</v>
      </c>
      <c r="R99" s="10">
        <f t="shared" si="184"/>
        <v>1.5862775016225472</v>
      </c>
      <c r="S99" s="10">
        <f t="shared" si="184"/>
        <v>1.6129480563930862</v>
      </c>
      <c r="T99" s="10">
        <f t="shared" si="184"/>
        <v>1.8692598315423128</v>
      </c>
      <c r="U99" s="10">
        <f t="shared" si="184"/>
        <v>2.3393437602357583</v>
      </c>
      <c r="V99" s="10">
        <f t="shared" si="184"/>
        <v>3.0250047652106007</v>
      </c>
      <c r="W99" s="287"/>
      <c r="X99" s="10">
        <f t="shared" si="185"/>
        <v>1.6405366961633561</v>
      </c>
      <c r="Y99" s="10">
        <f t="shared" si="186"/>
        <v>1.6860305600348016</v>
      </c>
      <c r="Z99" s="10">
        <f t="shared" si="187"/>
        <v>1.5862775016225472</v>
      </c>
      <c r="AA99" s="10">
        <f t="shared" si="188"/>
        <v>1.6129480563930862</v>
      </c>
      <c r="AB99" s="10">
        <f t="shared" ref="AB99:AD99" si="202">AB83/AB70</f>
        <v>1.7757968399651971</v>
      </c>
      <c r="AC99" s="10">
        <f t="shared" si="202"/>
        <v>2.1112577436127715</v>
      </c>
      <c r="AD99" s="10">
        <f t="shared" si="202"/>
        <v>2.5935634605724385</v>
      </c>
    </row>
    <row r="100" spans="1:78">
      <c r="A100" s="185" t="s">
        <v>16</v>
      </c>
      <c r="B100" s="186" t="str">
        <f>'[2]TS BYDem'!D27</f>
        <v>TFHCV8</v>
      </c>
      <c r="C100" s="186" t="str">
        <f>C21</f>
        <v>Transport Freight - HCV8</v>
      </c>
      <c r="D100" s="185" t="s">
        <v>150</v>
      </c>
      <c r="F100" s="235">
        <v>5.8486156921973897E-2</v>
      </c>
      <c r="G100" s="10">
        <v>7.9893942605822804E-2</v>
      </c>
      <c r="H100" s="10">
        <v>0.102046183451296</v>
      </c>
      <c r="I100" s="10">
        <f>I57/I71</f>
        <v>6.29969412856662E-2</v>
      </c>
      <c r="J100" s="10">
        <f>J57/J71</f>
        <v>5.9269704073492357E-2</v>
      </c>
      <c r="K100" s="10">
        <f t="shared" si="194"/>
        <v>6.0260489117384367E-2</v>
      </c>
      <c r="L100" s="10">
        <f t="shared" si="194"/>
        <v>6.9843061468535861E-2</v>
      </c>
      <c r="M100" s="10">
        <f t="shared" si="194"/>
        <v>8.7407286715925681E-2</v>
      </c>
      <c r="N100" s="10">
        <f t="shared" si="194"/>
        <v>0.1130263381227723</v>
      </c>
      <c r="P100" s="10">
        <f t="shared" si="184"/>
        <v>6.1297045695882089E-2</v>
      </c>
      <c r="Q100" s="10">
        <f t="shared" si="184"/>
        <v>6.29968793290656E-2</v>
      </c>
      <c r="R100" s="10">
        <f t="shared" si="184"/>
        <v>5.9269704073492357E-2</v>
      </c>
      <c r="S100" s="10">
        <f t="shared" si="184"/>
        <v>6.0266223211605845E-2</v>
      </c>
      <c r="T100" s="10">
        <f t="shared" si="184"/>
        <v>6.9843061468535861E-2</v>
      </c>
      <c r="U100" s="10">
        <f t="shared" si="184"/>
        <v>8.7407286715925681E-2</v>
      </c>
      <c r="V100" s="10">
        <f t="shared" si="184"/>
        <v>0.1130263381227723</v>
      </c>
      <c r="W100" s="287"/>
      <c r="X100" s="10">
        <f t="shared" si="185"/>
        <v>6.1297045695882089E-2</v>
      </c>
      <c r="Y100" s="10">
        <f t="shared" si="186"/>
        <v>6.29968793290656E-2</v>
      </c>
      <c r="Z100" s="10">
        <f t="shared" si="187"/>
        <v>5.9269704073492357E-2</v>
      </c>
      <c r="AA100" s="10">
        <f t="shared" si="188"/>
        <v>6.0266223211605845E-2</v>
      </c>
      <c r="AB100" s="10">
        <f t="shared" ref="AB100:AD100" si="203">AB84/AB71</f>
        <v>6.6350908395109057E-2</v>
      </c>
      <c r="AC100" s="10">
        <f t="shared" si="203"/>
        <v>7.8885076261122927E-2</v>
      </c>
      <c r="AD100" s="10">
        <f t="shared" si="203"/>
        <v>9.6905956648011896E-2</v>
      </c>
    </row>
    <row r="101" spans="1:78">
      <c r="A101" s="185" t="s">
        <v>16</v>
      </c>
      <c r="B101" s="186" t="str">
        <f>'[2]TS BYDem'!D28</f>
        <v>TFHCV9</v>
      </c>
      <c r="C101" s="186" t="str">
        <f>C22</f>
        <v>Transport Freight - HCV9</v>
      </c>
      <c r="D101" s="185" t="s">
        <v>150</v>
      </c>
      <c r="F101" s="235">
        <v>3.9969372950314899E-2</v>
      </c>
      <c r="G101" s="24">
        <v>2.2368931977559604E-2</v>
      </c>
      <c r="H101" s="186">
        <v>2.2670999999999997E-2</v>
      </c>
      <c r="I101" s="186">
        <f t="shared" ref="I101" si="204">I58/I72</f>
        <v>4.3052037840938417E-2</v>
      </c>
      <c r="J101" s="186">
        <f t="shared" si="193"/>
        <v>4.0504848180205263E-2</v>
      </c>
      <c r="K101" s="186">
        <f t="shared" si="194"/>
        <v>4.1181949549436034E-2</v>
      </c>
      <c r="L101" s="186">
        <f t="shared" si="194"/>
        <v>4.7730668567468298E-2</v>
      </c>
      <c r="M101" s="10">
        <f t="shared" si="194"/>
        <v>5.9734040073529761E-2</v>
      </c>
      <c r="N101" s="10">
        <f t="shared" si="194"/>
        <v>7.7242070592266454E-2</v>
      </c>
      <c r="P101" s="10">
        <f>P85/P72</f>
        <v>4.1890331133224316E-2</v>
      </c>
      <c r="Q101" s="10">
        <f t="shared" ref="Q101:V101" si="205">Q85/Q72</f>
        <v>4.3051995499868219E-2</v>
      </c>
      <c r="R101" s="10">
        <f t="shared" si="205"/>
        <v>4.0504848180205263E-2</v>
      </c>
      <c r="S101" s="10">
        <f t="shared" si="205"/>
        <v>4.1185868222888562E-2</v>
      </c>
      <c r="T101" s="10">
        <f t="shared" si="205"/>
        <v>4.7730668567468298E-2</v>
      </c>
      <c r="U101" s="10">
        <f t="shared" si="205"/>
        <v>5.9734040073529761E-2</v>
      </c>
      <c r="V101" s="10">
        <f t="shared" si="205"/>
        <v>7.7242070592266454E-2</v>
      </c>
      <c r="W101" s="287"/>
      <c r="X101" s="10">
        <f t="shared" si="185"/>
        <v>4.1890331133224316E-2</v>
      </c>
      <c r="Y101" s="10">
        <f t="shared" si="186"/>
        <v>4.3051995499868219E-2</v>
      </c>
      <c r="Z101" s="10">
        <f t="shared" si="187"/>
        <v>4.0504848180205263E-2</v>
      </c>
      <c r="AA101" s="10">
        <f t="shared" si="188"/>
        <v>4.1185868222888562E-2</v>
      </c>
      <c r="AB101" s="10">
        <f t="shared" ref="AB101:AD101" si="206">AB85/AB72</f>
        <v>4.5344135139094882E-2</v>
      </c>
      <c r="AC101" s="10">
        <f t="shared" si="206"/>
        <v>5.3909971166360607E-2</v>
      </c>
      <c r="AD101" s="10">
        <f t="shared" si="206"/>
        <v>6.6225420274044447E-2</v>
      </c>
    </row>
    <row r="102" spans="1:78">
      <c r="A102" s="185" t="s">
        <v>16</v>
      </c>
      <c r="B102" s="186" t="str">
        <f>'[2]TS BYDem'!D29</f>
        <v>TFRCO</v>
      </c>
      <c r="C102" s="186" t="str">
        <f>C23</f>
        <v>Transport Freight - Rail Corridor</v>
      </c>
      <c r="D102" s="185" t="s">
        <v>149</v>
      </c>
      <c r="F102" s="235">
        <f>'[2]TS BYDem'!J29</f>
        <v>22</v>
      </c>
      <c r="G102" s="10">
        <f t="shared" ref="G102:H102" si="207">G59</f>
        <v>23.057336578097942</v>
      </c>
      <c r="H102" s="10">
        <f t="shared" si="207"/>
        <v>23.440803697006192</v>
      </c>
      <c r="I102" s="10">
        <f t="shared" ref="I102:N102" si="208">I59</f>
        <v>23.696764862386523</v>
      </c>
      <c r="J102" s="10">
        <f t="shared" si="208"/>
        <v>22.294737049596232</v>
      </c>
      <c r="K102" s="10">
        <f t="shared" si="208"/>
        <v>22.667428163404651</v>
      </c>
      <c r="L102" s="10">
        <f t="shared" si="208"/>
        <v>26.271983545742081</v>
      </c>
      <c r="M102" s="10">
        <f t="shared" si="208"/>
        <v>32.878896630458648</v>
      </c>
      <c r="N102" s="10">
        <f t="shared" si="208"/>
        <v>42.515692081090613</v>
      </c>
      <c r="P102" s="10"/>
      <c r="W102" s="287"/>
    </row>
    <row r="103" spans="1:78">
      <c r="A103" s="185" t="s">
        <v>16</v>
      </c>
      <c r="B103" s="186" t="str">
        <f>'[2]TS BYDem'!D30</f>
        <v>TFROT</v>
      </c>
      <c r="C103" s="186" t="str">
        <f>C24</f>
        <v>Transport Freight - Rail Other</v>
      </c>
      <c r="D103" s="185" t="s">
        <v>149</v>
      </c>
      <c r="F103" s="235">
        <f>'[2]TS BYDem'!J30</f>
        <v>25.1</v>
      </c>
      <c r="G103" s="10">
        <f t="shared" ref="G103:H103" si="209">G47</f>
        <v>26.306324914102674</v>
      </c>
      <c r="H103" s="10">
        <f t="shared" si="209"/>
        <v>26.743826036129814</v>
      </c>
      <c r="I103" s="10">
        <f t="shared" ref="I103:N103" si="210">I47</f>
        <v>27.035854456631917</v>
      </c>
      <c r="J103" s="10">
        <f t="shared" si="210"/>
        <v>25.436268179312091</v>
      </c>
      <c r="K103" s="10">
        <f t="shared" si="210"/>
        <v>25.861474859157145</v>
      </c>
      <c r="L103" s="10">
        <f t="shared" si="210"/>
        <v>29.973944863551218</v>
      </c>
      <c r="M103" s="10">
        <f t="shared" si="210"/>
        <v>37.511832064750571</v>
      </c>
      <c r="N103" s="10">
        <f t="shared" si="210"/>
        <v>48.506539601607955</v>
      </c>
      <c r="P103" s="10"/>
    </row>
    <row r="104" spans="1:78">
      <c r="A104" s="185" t="s">
        <v>16</v>
      </c>
      <c r="B104" s="186" t="str">
        <f>'[2]TS BYDem'!D31</f>
        <v>TFREX</v>
      </c>
      <c r="C104" s="186" t="str">
        <f>C25</f>
        <v>Transport Freight - Rail Export (bulk mining)</v>
      </c>
      <c r="D104" s="185" t="s">
        <v>149</v>
      </c>
      <c r="F104" s="235">
        <f>'[2]TS BYDem'!J31</f>
        <v>82</v>
      </c>
      <c r="G104" s="10">
        <f>F104</f>
        <v>82</v>
      </c>
      <c r="H104" s="10">
        <f>G104</f>
        <v>82</v>
      </c>
      <c r="I104" s="10">
        <f>F104*(1+(F25+I25)/2*((I8/F8)^(1/(I$4-F$4))-1))^(I$4-F$4)</f>
        <v>83.472345553875911</v>
      </c>
      <c r="J104" s="10">
        <f>G104*(1+(G25+J25)/2*((J8/G8)^(1/(J$4-G$4))-1))^(J$4-G$4)</f>
        <v>75.296230147600639</v>
      </c>
      <c r="K104" s="10">
        <f>I104*(1+(I25+K25)/2*((K8/I8)^(1/(K$4-I$4))-1))^(K$4-I$4)</f>
        <v>79.105852655656577</v>
      </c>
      <c r="L104" s="10">
        <f>J104*(1+(J25+L25)/2*((L8/J8)^(1/(L$4-J$4))-1))^(L$4-J$4)</f>
        <v>88.040877070249081</v>
      </c>
      <c r="M104" s="10">
        <f>L104*(1+(L25+M25)/2*((M8/L8)^(1/(M$4-L$4))-1))^(M$4-L$4)</f>
        <v>106.52661741121335</v>
      </c>
      <c r="N104" s="10">
        <f>M104*(1+(M25+N25)/2*((N8/M8)^(1/(N$4-M$4))-1))^(N$4-M$4)</f>
        <v>129.58709683179265</v>
      </c>
      <c r="P104" s="10"/>
    </row>
    <row r="105" spans="1:78">
      <c r="B105" s="186"/>
      <c r="C105" s="186"/>
      <c r="F105" s="235"/>
      <c r="G105" s="10"/>
      <c r="H105" s="10"/>
      <c r="J105" s="10"/>
      <c r="L105" s="10"/>
      <c r="M105" s="10"/>
      <c r="N105" s="10"/>
      <c r="P105" s="10"/>
    </row>
    <row r="106" spans="1:78" ht="23.25">
      <c r="A106" s="114" t="s">
        <v>16</v>
      </c>
      <c r="B106" s="118" t="s">
        <v>18</v>
      </c>
      <c r="C106" s="118" t="s">
        <v>19</v>
      </c>
      <c r="D106" s="118" t="s">
        <v>20</v>
      </c>
      <c r="E106" s="118" t="s">
        <v>21</v>
      </c>
      <c r="F106" s="118" t="s">
        <v>22</v>
      </c>
      <c r="G106" s="118" t="s">
        <v>23</v>
      </c>
      <c r="H106" s="118" t="s">
        <v>24</v>
      </c>
      <c r="I106" s="118" t="s">
        <v>617</v>
      </c>
      <c r="J106" s="118" t="s">
        <v>652</v>
      </c>
      <c r="K106" s="118" t="s">
        <v>653</v>
      </c>
      <c r="L106" s="119" t="s">
        <v>25</v>
      </c>
      <c r="M106" s="185">
        <v>2012</v>
      </c>
      <c r="N106" s="185">
        <f t="shared" ref="N106:AY106" si="211">1+M106</f>
        <v>2013</v>
      </c>
      <c r="O106" s="185">
        <f t="shared" si="211"/>
        <v>2014</v>
      </c>
      <c r="P106" s="185">
        <f t="shared" si="211"/>
        <v>2015</v>
      </c>
      <c r="Q106" s="185">
        <f t="shared" si="211"/>
        <v>2016</v>
      </c>
      <c r="R106" s="185">
        <f t="shared" si="211"/>
        <v>2017</v>
      </c>
      <c r="S106" s="185">
        <f t="shared" si="211"/>
        <v>2018</v>
      </c>
      <c r="T106" s="185">
        <f t="shared" si="211"/>
        <v>2019</v>
      </c>
      <c r="U106" s="185">
        <f t="shared" si="211"/>
        <v>2020</v>
      </c>
      <c r="V106" s="185">
        <f t="shared" si="211"/>
        <v>2021</v>
      </c>
      <c r="W106" s="185">
        <f t="shared" si="211"/>
        <v>2022</v>
      </c>
      <c r="X106" s="185">
        <f t="shared" si="211"/>
        <v>2023</v>
      </c>
      <c r="Y106" s="185">
        <f t="shared" si="211"/>
        <v>2024</v>
      </c>
      <c r="Z106" s="185">
        <f t="shared" si="211"/>
        <v>2025</v>
      </c>
      <c r="AA106" s="185">
        <f t="shared" si="211"/>
        <v>2026</v>
      </c>
      <c r="AB106" s="185">
        <f t="shared" si="211"/>
        <v>2027</v>
      </c>
      <c r="AC106" s="185">
        <f t="shared" si="211"/>
        <v>2028</v>
      </c>
      <c r="AD106" s="185">
        <f t="shared" si="211"/>
        <v>2029</v>
      </c>
      <c r="AE106" s="185">
        <f t="shared" si="211"/>
        <v>2030</v>
      </c>
      <c r="AF106" s="185">
        <f t="shared" si="211"/>
        <v>2031</v>
      </c>
      <c r="AG106" s="185">
        <f t="shared" si="211"/>
        <v>2032</v>
      </c>
      <c r="AH106" s="185">
        <f t="shared" si="211"/>
        <v>2033</v>
      </c>
      <c r="AI106" s="185">
        <f t="shared" si="211"/>
        <v>2034</v>
      </c>
      <c r="AJ106" s="185">
        <f t="shared" si="211"/>
        <v>2035</v>
      </c>
      <c r="AK106" s="185">
        <f t="shared" si="211"/>
        <v>2036</v>
      </c>
      <c r="AL106" s="185">
        <f t="shared" si="211"/>
        <v>2037</v>
      </c>
      <c r="AM106" s="185">
        <f t="shared" si="211"/>
        <v>2038</v>
      </c>
      <c r="AN106" s="185">
        <f t="shared" si="211"/>
        <v>2039</v>
      </c>
      <c r="AO106" s="185">
        <f t="shared" si="211"/>
        <v>2040</v>
      </c>
      <c r="AP106" s="185">
        <f t="shared" si="211"/>
        <v>2041</v>
      </c>
      <c r="AQ106" s="185">
        <f t="shared" si="211"/>
        <v>2042</v>
      </c>
      <c r="AR106" s="185">
        <f t="shared" si="211"/>
        <v>2043</v>
      </c>
      <c r="AS106" s="185">
        <f t="shared" si="211"/>
        <v>2044</v>
      </c>
      <c r="AT106" s="185">
        <f t="shared" si="211"/>
        <v>2045</v>
      </c>
      <c r="AU106" s="185">
        <f t="shared" si="211"/>
        <v>2046</v>
      </c>
      <c r="AV106" s="185">
        <f t="shared" si="211"/>
        <v>2047</v>
      </c>
      <c r="AW106" s="185">
        <f t="shared" si="211"/>
        <v>2048</v>
      </c>
      <c r="AX106" s="185">
        <f t="shared" si="211"/>
        <v>2049</v>
      </c>
      <c r="AY106" s="185">
        <f t="shared" si="211"/>
        <v>2050</v>
      </c>
      <c r="AZ106" s="185">
        <v>2060</v>
      </c>
      <c r="BA106" s="185">
        <v>2070</v>
      </c>
    </row>
    <row r="107" spans="1:78" s="191" customFormat="1">
      <c r="A107" s="114" t="s">
        <v>16</v>
      </c>
      <c r="B107" s="191" t="s">
        <v>392</v>
      </c>
      <c r="C107" s="191">
        <v>1</v>
      </c>
      <c r="D107" s="191">
        <v>2012</v>
      </c>
      <c r="E107" s="191">
        <v>2015</v>
      </c>
      <c r="F107" s="191">
        <v>2017</v>
      </c>
      <c r="G107" s="191">
        <v>2019</v>
      </c>
      <c r="H107" s="191">
        <v>2020</v>
      </c>
      <c r="I107" s="191">
        <v>2021</v>
      </c>
      <c r="J107" s="191">
        <v>2030</v>
      </c>
      <c r="K107" s="191">
        <v>2040</v>
      </c>
      <c r="L107" s="237">
        <v>2050</v>
      </c>
      <c r="M107" s="191">
        <f t="shared" ref="M107:V108" si="212">MATCH(M$106,$D$107:$L$107,$C107)</f>
        <v>1</v>
      </c>
      <c r="N107" s="191">
        <f t="shared" si="212"/>
        <v>1</v>
      </c>
      <c r="O107" s="191">
        <f t="shared" si="212"/>
        <v>1</v>
      </c>
      <c r="P107" s="191">
        <f t="shared" si="212"/>
        <v>2</v>
      </c>
      <c r="Q107" s="191">
        <f t="shared" si="212"/>
        <v>2</v>
      </c>
      <c r="R107" s="191">
        <f t="shared" si="212"/>
        <v>3</v>
      </c>
      <c r="S107" s="191">
        <f t="shared" si="212"/>
        <v>3</v>
      </c>
      <c r="T107" s="191">
        <f t="shared" si="212"/>
        <v>4</v>
      </c>
      <c r="U107" s="191">
        <f t="shared" si="212"/>
        <v>5</v>
      </c>
      <c r="V107" s="191">
        <f t="shared" si="212"/>
        <v>6</v>
      </c>
      <c r="W107" s="191">
        <f t="shared" ref="W107:AF108" si="213">MATCH(W$106,$D$107:$L$107,$C107)</f>
        <v>6</v>
      </c>
      <c r="X107" s="191">
        <f t="shared" si="213"/>
        <v>6</v>
      </c>
      <c r="Y107" s="191">
        <f t="shared" si="213"/>
        <v>6</v>
      </c>
      <c r="Z107" s="191">
        <f t="shared" si="213"/>
        <v>6</v>
      </c>
      <c r="AA107" s="191">
        <f t="shared" si="213"/>
        <v>6</v>
      </c>
      <c r="AB107" s="191">
        <f t="shared" si="213"/>
        <v>6</v>
      </c>
      <c r="AC107" s="191">
        <f t="shared" si="213"/>
        <v>6</v>
      </c>
      <c r="AD107" s="191">
        <f t="shared" si="213"/>
        <v>6</v>
      </c>
      <c r="AE107" s="191">
        <f t="shared" si="213"/>
        <v>7</v>
      </c>
      <c r="AF107" s="191">
        <f t="shared" si="213"/>
        <v>7</v>
      </c>
      <c r="AG107" s="191">
        <f t="shared" ref="AG107:AP108" si="214">MATCH(AG$106,$D$107:$L$107,$C107)</f>
        <v>7</v>
      </c>
      <c r="AH107" s="191">
        <f t="shared" si="214"/>
        <v>7</v>
      </c>
      <c r="AI107" s="191">
        <f t="shared" si="214"/>
        <v>7</v>
      </c>
      <c r="AJ107" s="191">
        <f t="shared" si="214"/>
        <v>7</v>
      </c>
      <c r="AK107" s="191">
        <f t="shared" si="214"/>
        <v>7</v>
      </c>
      <c r="AL107" s="191">
        <f t="shared" si="214"/>
        <v>7</v>
      </c>
      <c r="AM107" s="191">
        <f t="shared" si="214"/>
        <v>7</v>
      </c>
      <c r="AN107" s="191">
        <f t="shared" si="214"/>
        <v>7</v>
      </c>
      <c r="AO107" s="191">
        <f t="shared" si="214"/>
        <v>8</v>
      </c>
      <c r="AP107" s="191">
        <f t="shared" si="214"/>
        <v>8</v>
      </c>
      <c r="AQ107" s="191">
        <f t="shared" ref="AQ107:BA108" si="215">MATCH(AQ$106,$D$107:$L$107,$C107)</f>
        <v>8</v>
      </c>
      <c r="AR107" s="191">
        <f t="shared" si="215"/>
        <v>8</v>
      </c>
      <c r="AS107" s="191">
        <f t="shared" si="215"/>
        <v>8</v>
      </c>
      <c r="AT107" s="191">
        <f t="shared" si="215"/>
        <v>8</v>
      </c>
      <c r="AU107" s="191">
        <f t="shared" si="215"/>
        <v>8</v>
      </c>
      <c r="AV107" s="191">
        <f t="shared" si="215"/>
        <v>8</v>
      </c>
      <c r="AW107" s="191">
        <f t="shared" si="215"/>
        <v>8</v>
      </c>
      <c r="AX107" s="191">
        <f t="shared" si="215"/>
        <v>8</v>
      </c>
      <c r="AY107" s="191">
        <f t="shared" si="215"/>
        <v>9</v>
      </c>
      <c r="AZ107" s="191">
        <f t="shared" si="215"/>
        <v>9</v>
      </c>
      <c r="BA107" s="191">
        <f t="shared" si="215"/>
        <v>9</v>
      </c>
      <c r="BB107" s="185"/>
      <c r="BC107" s="185"/>
      <c r="BD107" s="185"/>
      <c r="BE107" s="185"/>
      <c r="BF107" s="185"/>
      <c r="BG107" s="185"/>
      <c r="BH107" s="185"/>
      <c r="BI107" s="185"/>
      <c r="BJ107" s="185"/>
      <c r="BK107" s="185"/>
      <c r="BL107" s="185"/>
      <c r="BM107" s="185"/>
      <c r="BN107" s="185"/>
      <c r="BO107" s="185"/>
      <c r="BP107" s="185"/>
      <c r="BQ107" s="185"/>
      <c r="BR107" s="185"/>
      <c r="BS107" s="185"/>
      <c r="BT107" s="185"/>
      <c r="BU107" s="185"/>
      <c r="BV107" s="185"/>
      <c r="BW107" s="185"/>
      <c r="BX107" s="185"/>
      <c r="BY107" s="185"/>
      <c r="BZ107" s="185"/>
    </row>
    <row r="108" spans="1:78">
      <c r="A108" s="40" t="s">
        <v>16</v>
      </c>
      <c r="B108" s="185" t="s">
        <v>393</v>
      </c>
      <c r="C108" s="185">
        <v>0</v>
      </c>
      <c r="D108" s="185">
        <f>INDEX($D107:$L107,0,COUNT($D107:$L107)-D109)</f>
        <v>2050</v>
      </c>
      <c r="E108" s="283">
        <f t="shared" ref="E108:L108" si="216">INDEX($D107:$L107,0,COUNT($D107:$L107)-E109)</f>
        <v>2040</v>
      </c>
      <c r="F108" s="283">
        <f t="shared" si="216"/>
        <v>2030</v>
      </c>
      <c r="G108" s="283">
        <f t="shared" si="216"/>
        <v>2021</v>
      </c>
      <c r="H108" s="283">
        <f t="shared" si="216"/>
        <v>2020</v>
      </c>
      <c r="I108" s="283">
        <f t="shared" si="216"/>
        <v>2019</v>
      </c>
      <c r="J108" s="283">
        <f t="shared" si="216"/>
        <v>2017</v>
      </c>
      <c r="K108" s="283">
        <f t="shared" si="216"/>
        <v>2015</v>
      </c>
      <c r="L108" s="283">
        <f t="shared" si="216"/>
        <v>2012</v>
      </c>
      <c r="M108" s="40">
        <f t="shared" si="212"/>
        <v>1</v>
      </c>
      <c r="N108" s="40" t="e">
        <f t="shared" si="212"/>
        <v>#N/A</v>
      </c>
      <c r="O108" s="40" t="e">
        <f t="shared" si="212"/>
        <v>#N/A</v>
      </c>
      <c r="P108" s="40">
        <f t="shared" si="212"/>
        <v>2</v>
      </c>
      <c r="Q108" s="40" t="e">
        <f t="shared" si="212"/>
        <v>#N/A</v>
      </c>
      <c r="R108" s="40">
        <f t="shared" si="212"/>
        <v>3</v>
      </c>
      <c r="S108" s="40" t="e">
        <f t="shared" si="212"/>
        <v>#N/A</v>
      </c>
      <c r="T108" s="40">
        <f t="shared" si="212"/>
        <v>4</v>
      </c>
      <c r="U108" s="40">
        <f t="shared" si="212"/>
        <v>5</v>
      </c>
      <c r="V108" s="40">
        <f t="shared" si="212"/>
        <v>6</v>
      </c>
      <c r="W108" s="40" t="e">
        <f t="shared" si="213"/>
        <v>#N/A</v>
      </c>
      <c r="X108" s="40" t="e">
        <f t="shared" si="213"/>
        <v>#N/A</v>
      </c>
      <c r="Y108" s="40" t="e">
        <f t="shared" si="213"/>
        <v>#N/A</v>
      </c>
      <c r="Z108" s="40" t="e">
        <f t="shared" si="213"/>
        <v>#N/A</v>
      </c>
      <c r="AA108" s="40" t="e">
        <f t="shared" si="213"/>
        <v>#N/A</v>
      </c>
      <c r="AB108" s="40" t="e">
        <f t="shared" si="213"/>
        <v>#N/A</v>
      </c>
      <c r="AC108" s="40" t="e">
        <f t="shared" si="213"/>
        <v>#N/A</v>
      </c>
      <c r="AD108" s="40" t="e">
        <f t="shared" si="213"/>
        <v>#N/A</v>
      </c>
      <c r="AE108" s="40">
        <f t="shared" si="213"/>
        <v>7</v>
      </c>
      <c r="AF108" s="40" t="e">
        <f t="shared" si="213"/>
        <v>#N/A</v>
      </c>
      <c r="AG108" s="40" t="e">
        <f t="shared" si="214"/>
        <v>#N/A</v>
      </c>
      <c r="AH108" s="40" t="e">
        <f t="shared" si="214"/>
        <v>#N/A</v>
      </c>
      <c r="AI108" s="40" t="e">
        <f t="shared" si="214"/>
        <v>#N/A</v>
      </c>
      <c r="AJ108" s="40" t="e">
        <f t="shared" si="214"/>
        <v>#N/A</v>
      </c>
      <c r="AK108" s="40" t="e">
        <f t="shared" si="214"/>
        <v>#N/A</v>
      </c>
      <c r="AL108" s="40" t="e">
        <f t="shared" si="214"/>
        <v>#N/A</v>
      </c>
      <c r="AM108" s="40" t="e">
        <f t="shared" si="214"/>
        <v>#N/A</v>
      </c>
      <c r="AN108" s="40" t="e">
        <f t="shared" si="214"/>
        <v>#N/A</v>
      </c>
      <c r="AO108" s="40">
        <f t="shared" si="214"/>
        <v>8</v>
      </c>
      <c r="AP108" s="40" t="e">
        <f t="shared" si="214"/>
        <v>#N/A</v>
      </c>
      <c r="AQ108" s="40" t="e">
        <f t="shared" si="215"/>
        <v>#N/A</v>
      </c>
      <c r="AR108" s="40" t="e">
        <f t="shared" si="215"/>
        <v>#N/A</v>
      </c>
      <c r="AS108" s="40" t="e">
        <f t="shared" si="215"/>
        <v>#N/A</v>
      </c>
      <c r="AT108" s="40" t="e">
        <f t="shared" si="215"/>
        <v>#N/A</v>
      </c>
      <c r="AU108" s="40" t="e">
        <f t="shared" si="215"/>
        <v>#N/A</v>
      </c>
      <c r="AV108" s="40" t="e">
        <f t="shared" si="215"/>
        <v>#N/A</v>
      </c>
      <c r="AW108" s="40" t="e">
        <f t="shared" si="215"/>
        <v>#N/A</v>
      </c>
      <c r="AX108" s="40" t="e">
        <f t="shared" si="215"/>
        <v>#N/A</v>
      </c>
      <c r="AY108" s="40">
        <f t="shared" si="215"/>
        <v>9</v>
      </c>
      <c r="AZ108" s="40" t="e">
        <f t="shared" si="215"/>
        <v>#N/A</v>
      </c>
      <c r="BA108" s="40" t="e">
        <f t="shared" si="215"/>
        <v>#N/A</v>
      </c>
    </row>
    <row r="109" spans="1:78">
      <c r="A109" s="40" t="s">
        <v>16</v>
      </c>
      <c r="B109" s="185" t="s">
        <v>391</v>
      </c>
      <c r="C109" s="185">
        <v>-1</v>
      </c>
      <c r="D109" s="185">
        <v>0</v>
      </c>
      <c r="E109" s="283">
        <v>1</v>
      </c>
      <c r="F109" s="283">
        <v>2</v>
      </c>
      <c r="G109" s="283">
        <v>3</v>
      </c>
      <c r="H109" s="283">
        <v>4</v>
      </c>
      <c r="I109" s="283">
        <v>5</v>
      </c>
      <c r="J109" s="283">
        <v>6</v>
      </c>
      <c r="K109" s="283">
        <v>7</v>
      </c>
      <c r="L109" s="283">
        <v>8</v>
      </c>
      <c r="M109" s="40">
        <f t="shared" ref="M109:BA109" si="217">MATCH(M$106,$D$108:$L$108,$C109)</f>
        <v>9</v>
      </c>
      <c r="N109" s="40">
        <f t="shared" si="217"/>
        <v>8</v>
      </c>
      <c r="O109" s="40">
        <f t="shared" si="217"/>
        <v>8</v>
      </c>
      <c r="P109" s="40">
        <f t="shared" si="217"/>
        <v>8</v>
      </c>
      <c r="Q109" s="40">
        <f t="shared" si="217"/>
        <v>7</v>
      </c>
      <c r="R109" s="40">
        <f t="shared" si="217"/>
        <v>7</v>
      </c>
      <c r="S109" s="40">
        <f t="shared" si="217"/>
        <v>6</v>
      </c>
      <c r="T109" s="40">
        <f t="shared" si="217"/>
        <v>6</v>
      </c>
      <c r="U109" s="40">
        <f t="shared" si="217"/>
        <v>5</v>
      </c>
      <c r="V109" s="40">
        <f t="shared" si="217"/>
        <v>4</v>
      </c>
      <c r="W109" s="40">
        <f t="shared" si="217"/>
        <v>3</v>
      </c>
      <c r="X109" s="40">
        <f t="shared" si="217"/>
        <v>3</v>
      </c>
      <c r="Y109" s="40">
        <f t="shared" si="217"/>
        <v>3</v>
      </c>
      <c r="Z109" s="40">
        <f t="shared" si="217"/>
        <v>3</v>
      </c>
      <c r="AA109" s="40">
        <f t="shared" si="217"/>
        <v>3</v>
      </c>
      <c r="AB109" s="40">
        <f t="shared" si="217"/>
        <v>3</v>
      </c>
      <c r="AC109" s="40">
        <f t="shared" si="217"/>
        <v>3</v>
      </c>
      <c r="AD109" s="40">
        <f t="shared" si="217"/>
        <v>3</v>
      </c>
      <c r="AE109" s="40">
        <f t="shared" si="217"/>
        <v>3</v>
      </c>
      <c r="AF109" s="40">
        <f t="shared" si="217"/>
        <v>2</v>
      </c>
      <c r="AG109" s="40">
        <f t="shared" si="217"/>
        <v>2</v>
      </c>
      <c r="AH109" s="40">
        <f t="shared" si="217"/>
        <v>2</v>
      </c>
      <c r="AI109" s="40">
        <f t="shared" si="217"/>
        <v>2</v>
      </c>
      <c r="AJ109" s="40">
        <f t="shared" si="217"/>
        <v>2</v>
      </c>
      <c r="AK109" s="40">
        <f t="shared" si="217"/>
        <v>2</v>
      </c>
      <c r="AL109" s="40">
        <f t="shared" si="217"/>
        <v>2</v>
      </c>
      <c r="AM109" s="40">
        <f t="shared" si="217"/>
        <v>2</v>
      </c>
      <c r="AN109" s="40">
        <f t="shared" si="217"/>
        <v>2</v>
      </c>
      <c r="AO109" s="40">
        <f t="shared" si="217"/>
        <v>2</v>
      </c>
      <c r="AP109" s="40">
        <f t="shared" si="217"/>
        <v>1</v>
      </c>
      <c r="AQ109" s="40">
        <f t="shared" si="217"/>
        <v>1</v>
      </c>
      <c r="AR109" s="40">
        <f t="shared" si="217"/>
        <v>1</v>
      </c>
      <c r="AS109" s="40">
        <f t="shared" si="217"/>
        <v>1</v>
      </c>
      <c r="AT109" s="40">
        <f t="shared" si="217"/>
        <v>1</v>
      </c>
      <c r="AU109" s="40">
        <f t="shared" si="217"/>
        <v>1</v>
      </c>
      <c r="AV109" s="40">
        <f t="shared" si="217"/>
        <v>1</v>
      </c>
      <c r="AW109" s="40">
        <f t="shared" si="217"/>
        <v>1</v>
      </c>
      <c r="AX109" s="40">
        <f t="shared" si="217"/>
        <v>1</v>
      </c>
      <c r="AY109" s="40">
        <f t="shared" si="217"/>
        <v>1</v>
      </c>
      <c r="AZ109" s="40" t="e">
        <f t="shared" si="217"/>
        <v>#N/A</v>
      </c>
      <c r="BA109" s="40" t="e">
        <f t="shared" si="217"/>
        <v>#N/A</v>
      </c>
    </row>
    <row r="110" spans="1:78" s="117" customFormat="1">
      <c r="A110" s="116" t="s">
        <v>16</v>
      </c>
      <c r="B110" s="117" t="s">
        <v>394</v>
      </c>
      <c r="L110" s="122"/>
      <c r="M110" s="189">
        <f t="shared" ref="M110:BA110" si="218">IF(ISNA(M107),-1,IF(ISNA(M109),99,IF(ISNA(M108),M107,0)))</f>
        <v>0</v>
      </c>
      <c r="N110" s="189">
        <f t="shared" si="218"/>
        <v>1</v>
      </c>
      <c r="O110" s="189">
        <f t="shared" si="218"/>
        <v>1</v>
      </c>
      <c r="P110" s="189">
        <f t="shared" si="218"/>
        <v>0</v>
      </c>
      <c r="Q110" s="189">
        <f t="shared" si="218"/>
        <v>2</v>
      </c>
      <c r="R110" s="189">
        <f t="shared" si="218"/>
        <v>0</v>
      </c>
      <c r="S110" s="189">
        <f t="shared" si="218"/>
        <v>3</v>
      </c>
      <c r="T110" s="189">
        <f t="shared" si="218"/>
        <v>0</v>
      </c>
      <c r="U110" s="189">
        <f t="shared" si="218"/>
        <v>0</v>
      </c>
      <c r="V110" s="189">
        <f t="shared" si="218"/>
        <v>0</v>
      </c>
      <c r="W110" s="189">
        <f t="shared" si="218"/>
        <v>6</v>
      </c>
      <c r="X110" s="189">
        <f t="shared" si="218"/>
        <v>6</v>
      </c>
      <c r="Y110" s="189">
        <f t="shared" si="218"/>
        <v>6</v>
      </c>
      <c r="Z110" s="189">
        <f t="shared" si="218"/>
        <v>6</v>
      </c>
      <c r="AA110" s="189">
        <f t="shared" si="218"/>
        <v>6</v>
      </c>
      <c r="AB110" s="189">
        <f t="shared" si="218"/>
        <v>6</v>
      </c>
      <c r="AC110" s="189">
        <f t="shared" si="218"/>
        <v>6</v>
      </c>
      <c r="AD110" s="189">
        <f t="shared" si="218"/>
        <v>6</v>
      </c>
      <c r="AE110" s="189">
        <f t="shared" si="218"/>
        <v>0</v>
      </c>
      <c r="AF110" s="189">
        <f t="shared" si="218"/>
        <v>7</v>
      </c>
      <c r="AG110" s="189">
        <f t="shared" si="218"/>
        <v>7</v>
      </c>
      <c r="AH110" s="189">
        <f t="shared" si="218"/>
        <v>7</v>
      </c>
      <c r="AI110" s="189">
        <f t="shared" si="218"/>
        <v>7</v>
      </c>
      <c r="AJ110" s="189">
        <f t="shared" si="218"/>
        <v>7</v>
      </c>
      <c r="AK110" s="189">
        <f t="shared" si="218"/>
        <v>7</v>
      </c>
      <c r="AL110" s="189">
        <f t="shared" si="218"/>
        <v>7</v>
      </c>
      <c r="AM110" s="189">
        <f t="shared" si="218"/>
        <v>7</v>
      </c>
      <c r="AN110" s="189">
        <f t="shared" si="218"/>
        <v>7</v>
      </c>
      <c r="AO110" s="189">
        <f t="shared" si="218"/>
        <v>0</v>
      </c>
      <c r="AP110" s="189">
        <f t="shared" si="218"/>
        <v>8</v>
      </c>
      <c r="AQ110" s="189">
        <f t="shared" si="218"/>
        <v>8</v>
      </c>
      <c r="AR110" s="189">
        <f t="shared" si="218"/>
        <v>8</v>
      </c>
      <c r="AS110" s="189">
        <f t="shared" si="218"/>
        <v>8</v>
      </c>
      <c r="AT110" s="189">
        <f t="shared" si="218"/>
        <v>8</v>
      </c>
      <c r="AU110" s="189">
        <f t="shared" si="218"/>
        <v>8</v>
      </c>
      <c r="AV110" s="189">
        <f t="shared" si="218"/>
        <v>8</v>
      </c>
      <c r="AW110" s="189">
        <f t="shared" si="218"/>
        <v>8</v>
      </c>
      <c r="AX110" s="189">
        <f t="shared" si="218"/>
        <v>8</v>
      </c>
      <c r="AY110" s="189">
        <f t="shared" si="218"/>
        <v>0</v>
      </c>
      <c r="AZ110" s="189">
        <f t="shared" si="218"/>
        <v>99</v>
      </c>
      <c r="BA110" s="189">
        <f t="shared" si="218"/>
        <v>99</v>
      </c>
      <c r="BB110" s="185"/>
      <c r="BC110" s="185"/>
      <c r="BD110" s="185"/>
      <c r="BE110" s="185"/>
      <c r="BF110" s="185"/>
      <c r="BG110" s="185"/>
      <c r="BH110" s="185"/>
      <c r="BI110" s="185"/>
      <c r="BJ110" s="185"/>
      <c r="BK110" s="185"/>
      <c r="BL110" s="185"/>
      <c r="BM110" s="185"/>
      <c r="BN110" s="185"/>
      <c r="BO110" s="185"/>
      <c r="BP110" s="185"/>
      <c r="BQ110" s="185"/>
      <c r="BR110" s="185"/>
      <c r="BS110" s="185"/>
      <c r="BT110" s="185"/>
      <c r="BU110" s="185"/>
      <c r="BV110" s="185"/>
      <c r="BW110" s="185"/>
      <c r="BX110" s="185"/>
      <c r="BY110" s="185"/>
      <c r="BZ110" s="185"/>
    </row>
    <row r="111" spans="1:78">
      <c r="A111" s="116" t="s">
        <v>16</v>
      </c>
      <c r="B111" s="22" t="str">
        <f t="shared" ref="B111:B123" si="219">IF(A111="*","","COM_PROJ")</f>
        <v/>
      </c>
      <c r="C111" s="23" t="str">
        <f t="shared" ref="C111:C123" si="220">IF($A111="*","","-")</f>
        <v/>
      </c>
      <c r="D111" s="57" t="str">
        <f>ITEMS_TRA!C15</f>
        <v>TFLCV</v>
      </c>
      <c r="E111" s="23" t="str">
        <f t="shared" ref="E111:K123" si="221">IF($A111="*","","-")</f>
        <v/>
      </c>
      <c r="H111" s="23" t="str">
        <f t="shared" si="221"/>
        <v/>
      </c>
      <c r="J111" s="23" t="str">
        <f t="shared" si="221"/>
        <v/>
      </c>
      <c r="K111" s="23" t="str">
        <f t="shared" si="221"/>
        <v/>
      </c>
      <c r="L111" s="125" t="str">
        <f t="shared" ref="L111:L123" si="222">IF(A111="*","",0)</f>
        <v/>
      </c>
      <c r="M111" s="186">
        <f>INDEX('[2]TS BYDem'!J$10:J$59,MATCH($D111,'[2]TS BYDem'!D$10:D$59,0))</f>
        <v>43.11250375056882</v>
      </c>
      <c r="N111" s="186">
        <f t="shared" ref="N111:BA111" si="223">IF(N$110=-1,O111,IF(N$110=99,M111,IF(N$110=0,INDEX($F92:$N92,0,N$108),(INDEX($F92:$N92,0,N$110+1)-INDEX($F92:$N92,0,N$110))/(INDEX($F$4:$N$4,0,N$110+1)-INDEX($F$4:$N$4,0,N$110))+M111)))</f>
        <v>43.541669167045889</v>
      </c>
      <c r="O111" s="186">
        <f t="shared" si="223"/>
        <v>43.970834583522958</v>
      </c>
      <c r="P111" s="186">
        <f t="shared" si="223"/>
        <v>44.4</v>
      </c>
      <c r="Q111" s="186">
        <f t="shared" si="223"/>
        <v>44.871410582810697</v>
      </c>
      <c r="R111" s="186">
        <f t="shared" si="223"/>
        <v>45.342821165621402</v>
      </c>
      <c r="S111" s="186">
        <f t="shared" si="223"/>
        <v>45.89020294658313</v>
      </c>
      <c r="T111" s="186">
        <f t="shared" si="223"/>
        <v>46.437584727544852</v>
      </c>
      <c r="U111" s="186">
        <f t="shared" si="223"/>
        <v>43.690087939484705</v>
      </c>
      <c r="V111" s="186">
        <f t="shared" si="223"/>
        <v>44.420435532296942</v>
      </c>
      <c r="W111" s="186">
        <f t="shared" si="223"/>
        <v>45.205291125429042</v>
      </c>
      <c r="X111" s="186">
        <f t="shared" si="223"/>
        <v>45.990146718561142</v>
      </c>
      <c r="Y111" s="186">
        <f t="shared" si="223"/>
        <v>46.775002311693243</v>
      </c>
      <c r="Z111" s="186">
        <f t="shared" si="223"/>
        <v>47.559857904825343</v>
      </c>
      <c r="AA111" s="186">
        <f t="shared" si="223"/>
        <v>48.344713497957443</v>
      </c>
      <c r="AB111" s="186">
        <f t="shared" si="223"/>
        <v>49.129569091089543</v>
      </c>
      <c r="AC111" s="186">
        <f t="shared" si="223"/>
        <v>49.914424684221643</v>
      </c>
      <c r="AD111" s="186">
        <f t="shared" si="223"/>
        <v>50.699280277353743</v>
      </c>
      <c r="AE111" s="186">
        <f t="shared" si="223"/>
        <v>51.484135870485822</v>
      </c>
      <c r="AF111" s="186">
        <f t="shared" si="223"/>
        <v>52.778865712051847</v>
      </c>
      <c r="AG111" s="186">
        <f t="shared" si="223"/>
        <v>54.073595553617871</v>
      </c>
      <c r="AH111" s="186">
        <f t="shared" si="223"/>
        <v>55.368325395183895</v>
      </c>
      <c r="AI111" s="186">
        <f t="shared" si="223"/>
        <v>56.663055236749919</v>
      </c>
      <c r="AJ111" s="186">
        <f t="shared" si="223"/>
        <v>57.957785078315943</v>
      </c>
      <c r="AK111" s="186">
        <f t="shared" si="223"/>
        <v>59.252514919881968</v>
      </c>
      <c r="AL111" s="186">
        <f t="shared" si="223"/>
        <v>60.547244761447992</v>
      </c>
      <c r="AM111" s="186">
        <f t="shared" si="223"/>
        <v>61.841974603014016</v>
      </c>
      <c r="AN111" s="186">
        <f t="shared" si="223"/>
        <v>63.13670444458004</v>
      </c>
      <c r="AO111" s="186">
        <f t="shared" si="223"/>
        <v>64.431434286146057</v>
      </c>
      <c r="AP111" s="186">
        <f t="shared" si="223"/>
        <v>66.319917831640765</v>
      </c>
      <c r="AQ111" s="186">
        <f t="shared" si="223"/>
        <v>68.208401377135473</v>
      </c>
      <c r="AR111" s="186">
        <f t="shared" si="223"/>
        <v>70.096884922630181</v>
      </c>
      <c r="AS111" s="186">
        <f t="shared" si="223"/>
        <v>71.985368468124889</v>
      </c>
      <c r="AT111" s="186">
        <f t="shared" si="223"/>
        <v>73.873852013619597</v>
      </c>
      <c r="AU111" s="186">
        <f t="shared" si="223"/>
        <v>75.762335559114305</v>
      </c>
      <c r="AV111" s="186">
        <f t="shared" si="223"/>
        <v>77.650819104609013</v>
      </c>
      <c r="AW111" s="186">
        <f t="shared" si="223"/>
        <v>79.539302650103721</v>
      </c>
      <c r="AX111" s="186">
        <f t="shared" si="223"/>
        <v>81.427786195598429</v>
      </c>
      <c r="AY111" s="186">
        <f t="shared" si="223"/>
        <v>83.316269741093109</v>
      </c>
      <c r="AZ111" s="186">
        <f t="shared" si="223"/>
        <v>83.316269741093109</v>
      </c>
      <c r="BA111" s="186">
        <f t="shared" si="223"/>
        <v>83.316269741093109</v>
      </c>
    </row>
    <row r="112" spans="1:78">
      <c r="A112" s="116" t="s">
        <v>16</v>
      </c>
      <c r="B112" s="22" t="str">
        <f t="shared" si="219"/>
        <v/>
      </c>
      <c r="C112" s="23" t="str">
        <f t="shared" si="220"/>
        <v/>
      </c>
      <c r="D112" s="57" t="str">
        <f>ITEMS_TRA!C16</f>
        <v>TFHCV1</v>
      </c>
      <c r="E112" s="23" t="str">
        <f t="shared" si="221"/>
        <v/>
      </c>
      <c r="H112" s="23" t="str">
        <f t="shared" si="221"/>
        <v/>
      </c>
      <c r="J112" s="23" t="str">
        <f t="shared" si="221"/>
        <v/>
      </c>
      <c r="K112" s="23" t="str">
        <f t="shared" si="221"/>
        <v/>
      </c>
      <c r="L112" s="125" t="str">
        <f t="shared" si="222"/>
        <v/>
      </c>
      <c r="M112" s="186">
        <f>INDEX('[2]TS BYDem'!J$10:J$59,MATCH($D112,'[2]TS BYDem'!D$10:D$59,0))</f>
        <v>3.310563752317667</v>
      </c>
      <c r="N112" s="186">
        <f t="shared" ref="N112:BA112" si="224">IF(N$110=-1,O112,IF(N$110=99,M112,IF(N$110=0,INDEX($F93:$N93,0,N$108),(INDEX($F93:$N93,0,N$110+1)-INDEX($F93:$N93,0,N$110))/(INDEX($F$4:$N$4,0,N$110+1)-INDEX($F$4:$N$4,0,N$110))+M112)))</f>
        <v>3.3405637523176668</v>
      </c>
      <c r="O112" s="186">
        <f t="shared" si="224"/>
        <v>3.3705637523176666</v>
      </c>
      <c r="P112" s="186">
        <f t="shared" si="224"/>
        <v>3.4</v>
      </c>
      <c r="Q112" s="186">
        <f t="shared" si="224"/>
        <v>3.4249999999999998</v>
      </c>
      <c r="R112" s="186">
        <f t="shared" si="224"/>
        <v>3.45</v>
      </c>
      <c r="S112" s="186">
        <f t="shared" si="224"/>
        <v>3.5076429930568063</v>
      </c>
      <c r="T112" s="186">
        <f t="shared" si="224"/>
        <v>3.5652859861136119</v>
      </c>
      <c r="U112" s="186">
        <f t="shared" si="224"/>
        <v>3.3543445288256186</v>
      </c>
      <c r="V112" s="186">
        <f t="shared" si="224"/>
        <v>3.4104176009486125</v>
      </c>
      <c r="W112" s="186">
        <f t="shared" si="224"/>
        <v>3.4706755722392031</v>
      </c>
      <c r="X112" s="186">
        <f t="shared" si="224"/>
        <v>3.5309335435297937</v>
      </c>
      <c r="Y112" s="186">
        <f t="shared" si="224"/>
        <v>3.5911915148203843</v>
      </c>
      <c r="Z112" s="186">
        <f t="shared" si="224"/>
        <v>3.651449486110975</v>
      </c>
      <c r="AA112" s="186">
        <f t="shared" si="224"/>
        <v>3.7117074574015656</v>
      </c>
      <c r="AB112" s="186">
        <f t="shared" si="224"/>
        <v>3.7719654286921562</v>
      </c>
      <c r="AC112" s="186">
        <f t="shared" si="224"/>
        <v>3.8322233999827469</v>
      </c>
      <c r="AD112" s="186">
        <f t="shared" si="224"/>
        <v>3.8924813712733375</v>
      </c>
      <c r="AE112" s="186">
        <f t="shared" si="224"/>
        <v>3.9527393425639263</v>
      </c>
      <c r="AF112" s="186">
        <f t="shared" si="224"/>
        <v>4.052143353065798</v>
      </c>
      <c r="AG112" s="186">
        <f t="shared" si="224"/>
        <v>4.1515473635676701</v>
      </c>
      <c r="AH112" s="186">
        <f t="shared" si="224"/>
        <v>4.2509513740695422</v>
      </c>
      <c r="AI112" s="186">
        <f t="shared" si="224"/>
        <v>4.3503553845714142</v>
      </c>
      <c r="AJ112" s="186">
        <f t="shared" si="224"/>
        <v>4.4497593950732863</v>
      </c>
      <c r="AK112" s="186">
        <f t="shared" si="224"/>
        <v>4.5491634055751584</v>
      </c>
      <c r="AL112" s="186">
        <f t="shared" si="224"/>
        <v>4.6485674160770305</v>
      </c>
      <c r="AM112" s="186">
        <f t="shared" si="224"/>
        <v>4.7479714265789026</v>
      </c>
      <c r="AN112" s="186">
        <f t="shared" si="224"/>
        <v>4.8473754370807747</v>
      </c>
      <c r="AO112" s="186">
        <f t="shared" si="224"/>
        <v>4.9467794475826459</v>
      </c>
      <c r="AP112" s="186">
        <f t="shared" si="224"/>
        <v>5.0917694154989723</v>
      </c>
      <c r="AQ112" s="186">
        <f t="shared" si="224"/>
        <v>5.2367593834152988</v>
      </c>
      <c r="AR112" s="186">
        <f t="shared" si="224"/>
        <v>5.3817493513316252</v>
      </c>
      <c r="AS112" s="186">
        <f t="shared" si="224"/>
        <v>5.5267393192479517</v>
      </c>
      <c r="AT112" s="186">
        <f t="shared" si="224"/>
        <v>5.6717292871642782</v>
      </c>
      <c r="AU112" s="186">
        <f t="shared" si="224"/>
        <v>5.8167192550806046</v>
      </c>
      <c r="AV112" s="186">
        <f t="shared" si="224"/>
        <v>5.9617092229969311</v>
      </c>
      <c r="AW112" s="186">
        <f t="shared" si="224"/>
        <v>6.1066991909132575</v>
      </c>
      <c r="AX112" s="186">
        <f t="shared" si="224"/>
        <v>6.251689158829584</v>
      </c>
      <c r="AY112" s="186">
        <f t="shared" si="224"/>
        <v>6.3966791267459104</v>
      </c>
      <c r="AZ112" s="186">
        <f t="shared" si="224"/>
        <v>6.3966791267459104</v>
      </c>
      <c r="BA112" s="186">
        <f t="shared" si="224"/>
        <v>6.3966791267459104</v>
      </c>
    </row>
    <row r="113" spans="1:53">
      <c r="A113" s="116" t="s">
        <v>16</v>
      </c>
      <c r="B113" s="22" t="str">
        <f t="shared" si="219"/>
        <v/>
      </c>
      <c r="C113" s="23" t="str">
        <f t="shared" si="220"/>
        <v/>
      </c>
      <c r="D113" s="57" t="str">
        <f>ITEMS_TRA!C17</f>
        <v>TFHCV2</v>
      </c>
      <c r="E113" s="23" t="str">
        <f t="shared" si="221"/>
        <v/>
      </c>
      <c r="H113" s="23" t="str">
        <f t="shared" si="221"/>
        <v/>
      </c>
      <c r="J113" s="23" t="str">
        <f t="shared" si="221"/>
        <v/>
      </c>
      <c r="K113" s="23" t="str">
        <f t="shared" si="221"/>
        <v/>
      </c>
      <c r="L113" s="125" t="str">
        <f t="shared" si="222"/>
        <v/>
      </c>
      <c r="M113" s="186">
        <f>INDEX('[2]TS BYDem'!J$10:J$59,MATCH($D113,'[2]TS BYDem'!D$10:D$59,0))</f>
        <v>0.6547839540708813</v>
      </c>
      <c r="N113" s="186">
        <f t="shared" ref="N113:BA113" si="225">IF(N$110=-1,O113,IF(N$110=99,M113,IF(N$110=0,INDEX($F94:$N94,0,N$108),(INDEX($F94:$N94,0,N$110+1)-INDEX($F94:$N94,0,N$110))/(INDEX($F$4:$N$4,0,N$110+1)-INDEX($F$4:$N$4,0,N$110))+M113)))</f>
        <v>0.67123078144835724</v>
      </c>
      <c r="O113" s="186">
        <f t="shared" si="225"/>
        <v>0.68767760882583318</v>
      </c>
      <c r="P113" s="186">
        <f t="shared" si="225"/>
        <v>0.704124436203308</v>
      </c>
      <c r="Q113" s="186">
        <f t="shared" si="225"/>
        <v>0.72006693722491655</v>
      </c>
      <c r="R113" s="186">
        <f t="shared" si="225"/>
        <v>0.73600943824652509</v>
      </c>
      <c r="S113" s="186">
        <f t="shared" si="225"/>
        <v>0.72064702356147514</v>
      </c>
      <c r="T113" s="186">
        <f t="shared" si="225"/>
        <v>0.70528460887642519</v>
      </c>
      <c r="U113" s="186">
        <f t="shared" si="225"/>
        <v>0.66355618546841733</v>
      </c>
      <c r="V113" s="186">
        <f t="shared" si="225"/>
        <v>0.6746485564296244</v>
      </c>
      <c r="W113" s="186">
        <f t="shared" si="225"/>
        <v>0.68656878383323239</v>
      </c>
      <c r="X113" s="186">
        <f t="shared" si="225"/>
        <v>0.69848901123684037</v>
      </c>
      <c r="Y113" s="186">
        <f t="shared" si="225"/>
        <v>0.71040923864044836</v>
      </c>
      <c r="Z113" s="186">
        <f t="shared" si="225"/>
        <v>0.72232946604405635</v>
      </c>
      <c r="AA113" s="186">
        <f t="shared" si="225"/>
        <v>0.73424969344766433</v>
      </c>
      <c r="AB113" s="186">
        <f t="shared" si="225"/>
        <v>0.74616992085127232</v>
      </c>
      <c r="AC113" s="186">
        <f t="shared" si="225"/>
        <v>0.7580901482548803</v>
      </c>
      <c r="AD113" s="186">
        <f t="shared" si="225"/>
        <v>0.77001037565848829</v>
      </c>
      <c r="AE113" s="186">
        <f t="shared" si="225"/>
        <v>0.78193060306209605</v>
      </c>
      <c r="AF113" s="186">
        <f t="shared" si="225"/>
        <v>0.8015946970339749</v>
      </c>
      <c r="AG113" s="186">
        <f t="shared" si="225"/>
        <v>0.82125879100585375</v>
      </c>
      <c r="AH113" s="186">
        <f t="shared" si="225"/>
        <v>0.8409228849777326</v>
      </c>
      <c r="AI113" s="186">
        <f t="shared" si="225"/>
        <v>0.86058697894961145</v>
      </c>
      <c r="AJ113" s="186">
        <f t="shared" si="225"/>
        <v>0.8802510729214903</v>
      </c>
      <c r="AK113" s="186">
        <f t="shared" si="225"/>
        <v>0.89991516689336915</v>
      </c>
      <c r="AL113" s="186">
        <f t="shared" si="225"/>
        <v>0.91957926086524799</v>
      </c>
      <c r="AM113" s="186">
        <f t="shared" si="225"/>
        <v>0.93924335483712684</v>
      </c>
      <c r="AN113" s="186">
        <f t="shared" si="225"/>
        <v>0.95890744880900569</v>
      </c>
      <c r="AO113" s="186">
        <f t="shared" si="225"/>
        <v>0.97857154278088487</v>
      </c>
      <c r="AP113" s="186">
        <f t="shared" si="225"/>
        <v>1.007253447461508</v>
      </c>
      <c r="AQ113" s="186">
        <f t="shared" si="225"/>
        <v>1.0359353521421311</v>
      </c>
      <c r="AR113" s="186">
        <f t="shared" si="225"/>
        <v>1.0646172568227541</v>
      </c>
      <c r="AS113" s="186">
        <f t="shared" si="225"/>
        <v>1.0932991615033771</v>
      </c>
      <c r="AT113" s="186">
        <f t="shared" si="225"/>
        <v>1.1219810661840002</v>
      </c>
      <c r="AU113" s="186">
        <f t="shared" si="225"/>
        <v>1.1506629708646232</v>
      </c>
      <c r="AV113" s="186">
        <f t="shared" si="225"/>
        <v>1.1793448755452463</v>
      </c>
      <c r="AW113" s="186">
        <f t="shared" si="225"/>
        <v>1.2080267802258693</v>
      </c>
      <c r="AX113" s="186">
        <f t="shared" si="225"/>
        <v>1.2367086849064923</v>
      </c>
      <c r="AY113" s="186">
        <f t="shared" si="225"/>
        <v>1.2653905895871154</v>
      </c>
      <c r="AZ113" s="186">
        <f t="shared" si="225"/>
        <v>1.2653905895871154</v>
      </c>
      <c r="BA113" s="186">
        <f t="shared" si="225"/>
        <v>1.2653905895871154</v>
      </c>
    </row>
    <row r="114" spans="1:53">
      <c r="A114" s="116" t="s">
        <v>16</v>
      </c>
      <c r="B114" s="22" t="str">
        <f t="shared" si="219"/>
        <v/>
      </c>
      <c r="C114" s="23" t="str">
        <f t="shared" si="220"/>
        <v/>
      </c>
      <c r="D114" s="57" t="str">
        <f>ITEMS_TRA!C18</f>
        <v>TFHCV3</v>
      </c>
      <c r="E114" s="23" t="str">
        <f t="shared" si="221"/>
        <v/>
      </c>
      <c r="H114" s="23" t="str">
        <f t="shared" si="221"/>
        <v/>
      </c>
      <c r="J114" s="23" t="str">
        <f t="shared" si="221"/>
        <v/>
      </c>
      <c r="K114" s="23" t="str">
        <f t="shared" si="221"/>
        <v/>
      </c>
      <c r="L114" s="125" t="str">
        <f t="shared" si="222"/>
        <v/>
      </c>
      <c r="M114" s="186">
        <f>INDEX('[2]TS BYDem'!J$10:J$59,MATCH($D114,'[2]TS BYDem'!D$10:D$59,0))</f>
        <v>2.7114063478211388</v>
      </c>
      <c r="N114" s="186">
        <f t="shared" ref="N114:BA114" si="226">IF(N$110=-1,O114,IF(N$110=99,M114,IF(N$110=0,INDEX($F95:$N95,0,N$108),(INDEX($F95:$N95,0,N$110+1)-INDEX($F95:$N95,0,N$110))/(INDEX($F$4:$N$4,0,N$110+1)-INDEX($F$4:$N$4,0,N$110))+M114)))</f>
        <v>2.7742708985474289</v>
      </c>
      <c r="O114" s="186">
        <f t="shared" si="226"/>
        <v>2.8371354492737191</v>
      </c>
      <c r="P114" s="186">
        <f t="shared" si="226"/>
        <v>2.9</v>
      </c>
      <c r="Q114" s="186">
        <f t="shared" si="226"/>
        <v>2.9652984627095749</v>
      </c>
      <c r="R114" s="186">
        <f t="shared" si="226"/>
        <v>3.0305969254191498</v>
      </c>
      <c r="S114" s="186">
        <f t="shared" si="226"/>
        <v>2.9755611597709288</v>
      </c>
      <c r="T114" s="186">
        <f t="shared" si="226"/>
        <v>2.9205253941227078</v>
      </c>
      <c r="U114" s="186">
        <f t="shared" si="226"/>
        <v>2.7477314345126453</v>
      </c>
      <c r="V114" s="186">
        <f t="shared" si="226"/>
        <v>2.7936640277743123</v>
      </c>
      <c r="W114" s="186">
        <f t="shared" si="226"/>
        <v>2.8430247062831131</v>
      </c>
      <c r="X114" s="186">
        <f t="shared" si="226"/>
        <v>2.8923853847919139</v>
      </c>
      <c r="Y114" s="186">
        <f t="shared" si="226"/>
        <v>2.9417460633007146</v>
      </c>
      <c r="Z114" s="186">
        <f t="shared" si="226"/>
        <v>2.9911067418095154</v>
      </c>
      <c r="AA114" s="186">
        <f t="shared" si="226"/>
        <v>3.0404674203183162</v>
      </c>
      <c r="AB114" s="186">
        <f t="shared" si="226"/>
        <v>3.089828098827117</v>
      </c>
      <c r="AC114" s="186">
        <f t="shared" si="226"/>
        <v>3.1391887773359177</v>
      </c>
      <c r="AD114" s="186">
        <f t="shared" si="226"/>
        <v>3.1885494558447185</v>
      </c>
      <c r="AE114" s="186">
        <f t="shared" si="226"/>
        <v>3.2379101343535184</v>
      </c>
      <c r="AF114" s="186">
        <f t="shared" si="226"/>
        <v>3.3193375256144413</v>
      </c>
      <c r="AG114" s="186">
        <f t="shared" si="226"/>
        <v>3.4007649168753642</v>
      </c>
      <c r="AH114" s="186">
        <f t="shared" si="226"/>
        <v>3.4821923081362871</v>
      </c>
      <c r="AI114" s="186">
        <f t="shared" si="226"/>
        <v>3.56361969939721</v>
      </c>
      <c r="AJ114" s="186">
        <f t="shared" si="226"/>
        <v>3.6450470906581329</v>
      </c>
      <c r="AK114" s="186">
        <f t="shared" si="226"/>
        <v>3.7264744819190558</v>
      </c>
      <c r="AL114" s="186">
        <f t="shared" si="226"/>
        <v>3.8079018731799787</v>
      </c>
      <c r="AM114" s="186">
        <f t="shared" si="226"/>
        <v>3.8893292644409017</v>
      </c>
      <c r="AN114" s="186">
        <f t="shared" si="226"/>
        <v>3.9707566557018246</v>
      </c>
      <c r="AO114" s="186">
        <f t="shared" si="226"/>
        <v>4.0521840469627461</v>
      </c>
      <c r="AP114" s="186">
        <f t="shared" si="226"/>
        <v>4.170953448587734</v>
      </c>
      <c r="AQ114" s="186">
        <f t="shared" si="226"/>
        <v>4.2897228502127218</v>
      </c>
      <c r="AR114" s="186">
        <f t="shared" si="226"/>
        <v>4.4084922518377097</v>
      </c>
      <c r="AS114" s="186">
        <f t="shared" si="226"/>
        <v>4.5272616534626975</v>
      </c>
      <c r="AT114" s="186">
        <f t="shared" si="226"/>
        <v>4.6460310550876853</v>
      </c>
      <c r="AU114" s="186">
        <f t="shared" si="226"/>
        <v>4.7648004567126732</v>
      </c>
      <c r="AV114" s="186">
        <f t="shared" si="226"/>
        <v>4.883569858337661</v>
      </c>
      <c r="AW114" s="186">
        <f t="shared" si="226"/>
        <v>5.0023392599626488</v>
      </c>
      <c r="AX114" s="186">
        <f t="shared" si="226"/>
        <v>5.1211086615876367</v>
      </c>
      <c r="AY114" s="186">
        <f t="shared" si="226"/>
        <v>5.2398780632126236</v>
      </c>
      <c r="AZ114" s="186">
        <f t="shared" si="226"/>
        <v>5.2398780632126236</v>
      </c>
      <c r="BA114" s="186">
        <f t="shared" si="226"/>
        <v>5.2398780632126236</v>
      </c>
    </row>
    <row r="115" spans="1:53">
      <c r="A115" s="116" t="s">
        <v>16</v>
      </c>
      <c r="B115" s="22" t="str">
        <f t="shared" si="219"/>
        <v/>
      </c>
      <c r="C115" s="23" t="str">
        <f t="shared" si="220"/>
        <v/>
      </c>
      <c r="D115" s="57" t="str">
        <f>ITEMS_TRA!C19</f>
        <v>TFHCV4</v>
      </c>
      <c r="E115" s="23" t="str">
        <f t="shared" si="221"/>
        <v/>
      </c>
      <c r="H115" s="23" t="str">
        <f t="shared" si="221"/>
        <v/>
      </c>
      <c r="J115" s="23" t="str">
        <f t="shared" si="221"/>
        <v/>
      </c>
      <c r="K115" s="23" t="str">
        <f t="shared" si="221"/>
        <v/>
      </c>
      <c r="L115" s="125" t="str">
        <f t="shared" si="222"/>
        <v/>
      </c>
      <c r="M115" s="186">
        <f>INDEX('[2]TS BYDem'!J$10:J$59,MATCH($D115,'[2]TS BYDem'!D$10:D$59,0))</f>
        <v>0.57023972229676956</v>
      </c>
      <c r="N115" s="186">
        <f t="shared" ref="N115:BA115" si="227">IF(N$110=-1,O115,IF(N$110=99,M115,IF(N$110=0,INDEX($F96:$N96,0,N$108),(INDEX($F96:$N96,0,N$110+1)-INDEX($F96:$N96,0,N$110))/(INDEX($F$4:$N$4,0,N$110+1)-INDEX($F$4:$N$4,0,N$110))+M115)))</f>
        <v>0.55900373411704862</v>
      </c>
      <c r="O115" s="186">
        <f t="shared" si="227"/>
        <v>0.54776774593732769</v>
      </c>
      <c r="P115" s="186">
        <f t="shared" si="227"/>
        <v>0.53653175775760331</v>
      </c>
      <c r="Q115" s="186">
        <f t="shared" si="227"/>
        <v>0.54016937887880168</v>
      </c>
      <c r="R115" s="186">
        <f t="shared" si="227"/>
        <v>0.54380700000000004</v>
      </c>
      <c r="S115" s="186">
        <f t="shared" si="227"/>
        <v>0.57901342305588788</v>
      </c>
      <c r="T115" s="186">
        <f t="shared" si="227"/>
        <v>0.6142198461117756</v>
      </c>
      <c r="U115" s="186">
        <f t="shared" si="227"/>
        <v>0.57787930290187206</v>
      </c>
      <c r="V115" s="186">
        <f t="shared" si="227"/>
        <v>0.58753945186735324</v>
      </c>
      <c r="W115" s="186">
        <f t="shared" si="227"/>
        <v>0.59792056631294621</v>
      </c>
      <c r="X115" s="186">
        <f t="shared" si="227"/>
        <v>0.60830168075853919</v>
      </c>
      <c r="Y115" s="186">
        <f t="shared" si="227"/>
        <v>0.61868279520413216</v>
      </c>
      <c r="Z115" s="186">
        <f t="shared" si="227"/>
        <v>0.62906390964972514</v>
      </c>
      <c r="AA115" s="186">
        <f t="shared" si="227"/>
        <v>0.63944502409531812</v>
      </c>
      <c r="AB115" s="186">
        <f t="shared" si="227"/>
        <v>0.64982613854091109</v>
      </c>
      <c r="AC115" s="186">
        <f t="shared" si="227"/>
        <v>0.66020725298650407</v>
      </c>
      <c r="AD115" s="186">
        <f t="shared" si="227"/>
        <v>0.67058836743209704</v>
      </c>
      <c r="AE115" s="186">
        <f t="shared" si="227"/>
        <v>0.68096948187769002</v>
      </c>
      <c r="AF115" s="186">
        <f t="shared" si="227"/>
        <v>0.69809459225345205</v>
      </c>
      <c r="AG115" s="186">
        <f t="shared" si="227"/>
        <v>0.71521970262921408</v>
      </c>
      <c r="AH115" s="186">
        <f t="shared" si="227"/>
        <v>0.73234481300497611</v>
      </c>
      <c r="AI115" s="186">
        <f t="shared" si="227"/>
        <v>0.74946992338073815</v>
      </c>
      <c r="AJ115" s="186">
        <f t="shared" si="227"/>
        <v>0.76659503375650018</v>
      </c>
      <c r="AK115" s="186">
        <f t="shared" si="227"/>
        <v>0.78372014413226221</v>
      </c>
      <c r="AL115" s="186">
        <f t="shared" si="227"/>
        <v>0.80084525450802424</v>
      </c>
      <c r="AM115" s="186">
        <f t="shared" si="227"/>
        <v>0.81797036488378627</v>
      </c>
      <c r="AN115" s="186">
        <f t="shared" si="227"/>
        <v>0.8350954752595483</v>
      </c>
      <c r="AO115" s="186">
        <f t="shared" si="227"/>
        <v>0.85222058563531045</v>
      </c>
      <c r="AP115" s="186">
        <f t="shared" si="227"/>
        <v>0.87719914727894277</v>
      </c>
      <c r="AQ115" s="186">
        <f t="shared" si="227"/>
        <v>0.90217770892257509</v>
      </c>
      <c r="AR115" s="186">
        <f t="shared" si="227"/>
        <v>0.92715627056620742</v>
      </c>
      <c r="AS115" s="186">
        <f t="shared" si="227"/>
        <v>0.95213483220983974</v>
      </c>
      <c r="AT115" s="186">
        <f t="shared" si="227"/>
        <v>0.97711339385347207</v>
      </c>
      <c r="AU115" s="186">
        <f t="shared" si="227"/>
        <v>1.0020919554971044</v>
      </c>
      <c r="AV115" s="186">
        <f t="shared" si="227"/>
        <v>1.0270705171407366</v>
      </c>
      <c r="AW115" s="186">
        <f t="shared" si="227"/>
        <v>1.052049078784369</v>
      </c>
      <c r="AX115" s="186">
        <f t="shared" si="227"/>
        <v>1.0770276404280015</v>
      </c>
      <c r="AY115" s="186">
        <f t="shared" si="227"/>
        <v>1.1020062020716337</v>
      </c>
      <c r="AZ115" s="186">
        <f t="shared" si="227"/>
        <v>1.1020062020716337</v>
      </c>
      <c r="BA115" s="186">
        <f t="shared" si="227"/>
        <v>1.1020062020716337</v>
      </c>
    </row>
    <row r="116" spans="1:53">
      <c r="A116" s="116" t="s">
        <v>16</v>
      </c>
      <c r="B116" s="22" t="str">
        <f t="shared" si="219"/>
        <v/>
      </c>
      <c r="C116" s="23" t="str">
        <f t="shared" si="220"/>
        <v/>
      </c>
      <c r="D116" s="57" t="str">
        <f>ITEMS_TRA!C20</f>
        <v>TFHCV5</v>
      </c>
      <c r="E116" s="23" t="str">
        <f t="shared" si="221"/>
        <v/>
      </c>
      <c r="H116" s="23" t="str">
        <f t="shared" si="221"/>
        <v/>
      </c>
      <c r="J116" s="23" t="str">
        <f t="shared" si="221"/>
        <v/>
      </c>
      <c r="K116" s="23" t="str">
        <f t="shared" si="221"/>
        <v/>
      </c>
      <c r="L116" s="125" t="str">
        <f t="shared" si="222"/>
        <v/>
      </c>
      <c r="M116" s="186">
        <f>INDEX('[2]TS BYDem'!J$10:J$59,MATCH($D116,'[2]TS BYDem'!D$10:D$59,0))</f>
        <v>0.27326501935541331</v>
      </c>
      <c r="N116" s="186">
        <f t="shared" ref="N116:BA116" si="228">IF(N$110=-1,O116,IF(N$110=99,M116,IF(N$110=0,INDEX($F97:$N97,0,N$108),(INDEX($F97:$N97,0,N$110+1)-INDEX($F97:$N97,0,N$110))/(INDEX($F$4:$N$4,0,N$110+1)-INDEX($F$4:$N$4,0,N$110))+M116)))</f>
        <v>0.27740453823694228</v>
      </c>
      <c r="O116" s="186">
        <f t="shared" si="228"/>
        <v>0.28154405711847125</v>
      </c>
      <c r="P116" s="186">
        <f t="shared" si="228"/>
        <v>0.28568357599999999</v>
      </c>
      <c r="Q116" s="186">
        <f t="shared" si="228"/>
        <v>0.2876204765</v>
      </c>
      <c r="R116" s="186">
        <f t="shared" si="228"/>
        <v>0.289557377</v>
      </c>
      <c r="S116" s="186">
        <f t="shared" si="228"/>
        <v>0.29194907279047111</v>
      </c>
      <c r="T116" s="186">
        <f t="shared" si="228"/>
        <v>0.29434076858094221</v>
      </c>
      <c r="U116" s="186">
        <f t="shared" si="228"/>
        <v>0.27692598869917107</v>
      </c>
      <c r="V116" s="186">
        <f t="shared" si="228"/>
        <v>0.28155523617319139</v>
      </c>
      <c r="W116" s="186">
        <f t="shared" si="228"/>
        <v>0.28652997807380803</v>
      </c>
      <c r="X116" s="186">
        <f t="shared" si="228"/>
        <v>0.29150471997442468</v>
      </c>
      <c r="Y116" s="186">
        <f t="shared" si="228"/>
        <v>0.29647946187504132</v>
      </c>
      <c r="Z116" s="186">
        <f t="shared" si="228"/>
        <v>0.30145420377565796</v>
      </c>
      <c r="AA116" s="186">
        <f t="shared" si="228"/>
        <v>0.3064289456762746</v>
      </c>
      <c r="AB116" s="186">
        <f t="shared" si="228"/>
        <v>0.31140368757689124</v>
      </c>
      <c r="AC116" s="186">
        <f t="shared" si="228"/>
        <v>0.31637842947750788</v>
      </c>
      <c r="AD116" s="186">
        <f t="shared" si="228"/>
        <v>0.32135317137812452</v>
      </c>
      <c r="AE116" s="186">
        <f t="shared" si="228"/>
        <v>0.32632791327874128</v>
      </c>
      <c r="AF116" s="186">
        <f t="shared" si="228"/>
        <v>0.33453445069680765</v>
      </c>
      <c r="AG116" s="186">
        <f t="shared" si="228"/>
        <v>0.34274098811487402</v>
      </c>
      <c r="AH116" s="186">
        <f t="shared" si="228"/>
        <v>0.3509475255329404</v>
      </c>
      <c r="AI116" s="186">
        <f t="shared" si="228"/>
        <v>0.35915406295100677</v>
      </c>
      <c r="AJ116" s="186">
        <f t="shared" si="228"/>
        <v>0.36736060036907314</v>
      </c>
      <c r="AK116" s="186">
        <f t="shared" si="228"/>
        <v>0.37556713778713952</v>
      </c>
      <c r="AL116" s="186">
        <f t="shared" si="228"/>
        <v>0.38377367520520589</v>
      </c>
      <c r="AM116" s="186">
        <f t="shared" si="228"/>
        <v>0.39198021262327226</v>
      </c>
      <c r="AN116" s="186">
        <f t="shared" si="228"/>
        <v>0.40018675004133863</v>
      </c>
      <c r="AO116" s="186">
        <f t="shared" si="228"/>
        <v>0.40839328745940517</v>
      </c>
      <c r="AP116" s="186">
        <f t="shared" si="228"/>
        <v>0.42036328334731926</v>
      </c>
      <c r="AQ116" s="186">
        <f t="shared" si="228"/>
        <v>0.43233327923523335</v>
      </c>
      <c r="AR116" s="186">
        <f t="shared" si="228"/>
        <v>0.44430327512314743</v>
      </c>
      <c r="AS116" s="186">
        <f t="shared" si="228"/>
        <v>0.45627327101106152</v>
      </c>
      <c r="AT116" s="186">
        <f t="shared" si="228"/>
        <v>0.46824326689897561</v>
      </c>
      <c r="AU116" s="186">
        <f t="shared" si="228"/>
        <v>0.48021326278688969</v>
      </c>
      <c r="AV116" s="186">
        <f t="shared" si="228"/>
        <v>0.49218325867480378</v>
      </c>
      <c r="AW116" s="186">
        <f t="shared" si="228"/>
        <v>0.50415325456271787</v>
      </c>
      <c r="AX116" s="186">
        <f t="shared" si="228"/>
        <v>0.51612325045063201</v>
      </c>
      <c r="AY116" s="186">
        <f t="shared" si="228"/>
        <v>0.52809324633854615</v>
      </c>
      <c r="AZ116" s="186">
        <f t="shared" si="228"/>
        <v>0.52809324633854615</v>
      </c>
      <c r="BA116" s="186">
        <f t="shared" si="228"/>
        <v>0.52809324633854615</v>
      </c>
    </row>
    <row r="117" spans="1:53">
      <c r="A117" s="116" t="s">
        <v>16</v>
      </c>
      <c r="B117" s="22" t="str">
        <f t="shared" si="219"/>
        <v/>
      </c>
      <c r="C117" s="23" t="str">
        <f t="shared" si="220"/>
        <v/>
      </c>
      <c r="D117" s="57" t="str">
        <f>ITEMS_TRA!C21</f>
        <v>TFHCV6</v>
      </c>
      <c r="E117" s="23" t="str">
        <f t="shared" si="221"/>
        <v/>
      </c>
      <c r="H117" s="23" t="str">
        <f t="shared" si="221"/>
        <v/>
      </c>
      <c r="J117" s="23" t="str">
        <f t="shared" si="221"/>
        <v/>
      </c>
      <c r="K117" s="23" t="str">
        <f t="shared" si="221"/>
        <v/>
      </c>
      <c r="L117" s="125" t="str">
        <f t="shared" si="222"/>
        <v/>
      </c>
      <c r="M117" s="186">
        <f>INDEX('[2]TS BYDem'!J$10:J$59,MATCH($D117,'[2]TS BYDem'!D$10:D$59,0))</f>
        <v>5.0361375113209643</v>
      </c>
      <c r="N117" s="186">
        <f t="shared" ref="N117:BA117" si="229">IF(N$110=-1,O117,IF(N$110=99,M117,IF(N$110=0,INDEX($F98:$N98,0,N$108),(INDEX($F98:$N98,0,N$110+1)-INDEX($F98:$N98,0,N$110))/(INDEX($F$4:$N$4,0,N$110+1)-INDEX($F$4:$N$4,0,N$110))+M117)))</f>
        <v>5.3607583408806443</v>
      </c>
      <c r="O117" s="186">
        <f t="shared" si="229"/>
        <v>5.6853791704403243</v>
      </c>
      <c r="P117" s="186">
        <f t="shared" si="229"/>
        <v>6.01</v>
      </c>
      <c r="Q117" s="186">
        <f t="shared" si="229"/>
        <v>6.3253919226144593</v>
      </c>
      <c r="R117" s="186">
        <f t="shared" si="229"/>
        <v>6.6407838452289196</v>
      </c>
      <c r="S117" s="186">
        <f t="shared" si="229"/>
        <v>6.0326684321693991</v>
      </c>
      <c r="T117" s="186">
        <f t="shared" si="229"/>
        <v>5.4245530191098785</v>
      </c>
      <c r="U117" s="186">
        <f t="shared" si="229"/>
        <v>5.1036073436594931</v>
      </c>
      <c r="V117" s="186">
        <f t="shared" si="229"/>
        <v>5.188922057222519</v>
      </c>
      <c r="W117" s="186">
        <f t="shared" si="229"/>
        <v>5.2806040601145563</v>
      </c>
      <c r="X117" s="186">
        <f t="shared" si="229"/>
        <v>5.3722860630065936</v>
      </c>
      <c r="Y117" s="186">
        <f t="shared" si="229"/>
        <v>5.4639680658986309</v>
      </c>
      <c r="Z117" s="186">
        <f t="shared" si="229"/>
        <v>5.5556500687906683</v>
      </c>
      <c r="AA117" s="186">
        <f t="shared" si="229"/>
        <v>5.6473320716827056</v>
      </c>
      <c r="AB117" s="186">
        <f t="shared" si="229"/>
        <v>5.7390140745747429</v>
      </c>
      <c r="AC117" s="186">
        <f t="shared" si="229"/>
        <v>5.8306960774667802</v>
      </c>
      <c r="AD117" s="186">
        <f t="shared" si="229"/>
        <v>5.9223780803588175</v>
      </c>
      <c r="AE117" s="186">
        <f t="shared" si="229"/>
        <v>6.0140600832508548</v>
      </c>
      <c r="AF117" s="186">
        <f t="shared" si="229"/>
        <v>6.1653024597053019</v>
      </c>
      <c r="AG117" s="186">
        <f t="shared" si="229"/>
        <v>6.3165448361597489</v>
      </c>
      <c r="AH117" s="186">
        <f t="shared" si="229"/>
        <v>6.467787212614196</v>
      </c>
      <c r="AI117" s="186">
        <f t="shared" si="229"/>
        <v>6.619029589068643</v>
      </c>
      <c r="AJ117" s="186">
        <f t="shared" si="229"/>
        <v>6.7702719655230901</v>
      </c>
      <c r="AK117" s="186">
        <f t="shared" si="229"/>
        <v>6.9215143419775371</v>
      </c>
      <c r="AL117" s="186">
        <f t="shared" si="229"/>
        <v>7.0727567184319842</v>
      </c>
      <c r="AM117" s="186">
        <f t="shared" si="229"/>
        <v>7.2239990948864312</v>
      </c>
      <c r="AN117" s="186">
        <f t="shared" si="229"/>
        <v>7.3752414713408783</v>
      </c>
      <c r="AO117" s="186">
        <f t="shared" si="229"/>
        <v>7.5264838477953289</v>
      </c>
      <c r="AP117" s="186">
        <f t="shared" si="229"/>
        <v>7.7470848798764873</v>
      </c>
      <c r="AQ117" s="186">
        <f t="shared" si="229"/>
        <v>7.9676859119576458</v>
      </c>
      <c r="AR117" s="186">
        <f t="shared" si="229"/>
        <v>8.1882869440388042</v>
      </c>
      <c r="AS117" s="186">
        <f t="shared" si="229"/>
        <v>8.4088879761199617</v>
      </c>
      <c r="AT117" s="186">
        <f t="shared" si="229"/>
        <v>8.6294890082011193</v>
      </c>
      <c r="AU117" s="186">
        <f t="shared" si="229"/>
        <v>8.8500900402822769</v>
      </c>
      <c r="AV117" s="186">
        <f t="shared" si="229"/>
        <v>9.0706910723634344</v>
      </c>
      <c r="AW117" s="186">
        <f t="shared" si="229"/>
        <v>9.291292104444592</v>
      </c>
      <c r="AX117" s="186">
        <f t="shared" si="229"/>
        <v>9.5118931365257495</v>
      </c>
      <c r="AY117" s="186">
        <f t="shared" si="229"/>
        <v>9.7324941686069124</v>
      </c>
      <c r="AZ117" s="186">
        <f t="shared" si="229"/>
        <v>9.7324941686069124</v>
      </c>
      <c r="BA117" s="186">
        <f t="shared" si="229"/>
        <v>9.7324941686069124</v>
      </c>
    </row>
    <row r="118" spans="1:53">
      <c r="A118" s="116" t="s">
        <v>16</v>
      </c>
      <c r="B118" s="22" t="str">
        <f t="shared" si="219"/>
        <v/>
      </c>
      <c r="C118" s="23" t="str">
        <f t="shared" si="220"/>
        <v/>
      </c>
      <c r="D118" s="57" t="str">
        <f>ITEMS_TRA!C22</f>
        <v>TFHCV7</v>
      </c>
      <c r="E118" s="23" t="str">
        <f t="shared" si="221"/>
        <v/>
      </c>
      <c r="H118" s="23" t="str">
        <f t="shared" si="221"/>
        <v/>
      </c>
      <c r="J118" s="23" t="str">
        <f t="shared" si="221"/>
        <v/>
      </c>
      <c r="K118" s="23" t="str">
        <f t="shared" si="221"/>
        <v/>
      </c>
      <c r="L118" s="125" t="str">
        <f t="shared" si="222"/>
        <v/>
      </c>
      <c r="M118" s="186">
        <f>INDEX('[2]TS BYDem'!J$10:J$59,MATCH($D118,'[2]TS BYDem'!D$10:D$59,0))</f>
        <v>1.5653068685251963</v>
      </c>
      <c r="N118" s="186">
        <f t="shared" ref="N118:BA118" si="230">IF(N$110=-1,O118,IF(N$110=99,M118,IF(N$110=0,INDEX($F99:$N99,0,N$108),(INDEX($F99:$N99,0,N$110+1)-INDEX($F99:$N99,0,N$110))/(INDEX($F$4:$N$4,0,N$110+1)-INDEX($F$4:$N$4,0,N$110))+M118)))</f>
        <v>1.6102045790167996</v>
      </c>
      <c r="O118" s="186">
        <f t="shared" si="230"/>
        <v>1.6551022895084029</v>
      </c>
      <c r="P118" s="186">
        <f t="shared" si="230"/>
        <v>1.7</v>
      </c>
      <c r="Q118" s="186">
        <f t="shared" si="230"/>
        <v>1.74</v>
      </c>
      <c r="R118" s="186">
        <f t="shared" si="230"/>
        <v>1.78</v>
      </c>
      <c r="S118" s="186">
        <f t="shared" si="230"/>
        <v>1.7330161091118188</v>
      </c>
      <c r="T118" s="186">
        <f t="shared" si="230"/>
        <v>1.6860322182236378</v>
      </c>
      <c r="U118" s="186">
        <f t="shared" si="230"/>
        <v>1.5862775016225472</v>
      </c>
      <c r="V118" s="186">
        <f t="shared" si="230"/>
        <v>1.6127945907263026</v>
      </c>
      <c r="W118" s="186">
        <f t="shared" si="230"/>
        <v>1.6412907285947482</v>
      </c>
      <c r="X118" s="186">
        <f t="shared" si="230"/>
        <v>1.6697868664631939</v>
      </c>
      <c r="Y118" s="186">
        <f t="shared" si="230"/>
        <v>1.6982830043316395</v>
      </c>
      <c r="Z118" s="186">
        <f t="shared" si="230"/>
        <v>1.7267791422000851</v>
      </c>
      <c r="AA118" s="186">
        <f t="shared" si="230"/>
        <v>1.7552752800685307</v>
      </c>
      <c r="AB118" s="186">
        <f t="shared" si="230"/>
        <v>1.7837714179369764</v>
      </c>
      <c r="AC118" s="186">
        <f t="shared" si="230"/>
        <v>1.812267555805422</v>
      </c>
      <c r="AD118" s="186">
        <f t="shared" si="230"/>
        <v>1.8407636936738676</v>
      </c>
      <c r="AE118" s="186">
        <f t="shared" si="230"/>
        <v>1.8692598315423128</v>
      </c>
      <c r="AF118" s="186">
        <f t="shared" si="230"/>
        <v>1.9162682244116573</v>
      </c>
      <c r="AG118" s="186">
        <f t="shared" si="230"/>
        <v>1.9632766172810019</v>
      </c>
      <c r="AH118" s="186">
        <f t="shared" si="230"/>
        <v>2.0102850101503464</v>
      </c>
      <c r="AI118" s="186">
        <f t="shared" si="230"/>
        <v>2.057293403019691</v>
      </c>
      <c r="AJ118" s="186">
        <f t="shared" si="230"/>
        <v>2.1043017958890355</v>
      </c>
      <c r="AK118" s="186">
        <f t="shared" si="230"/>
        <v>2.1513101887583801</v>
      </c>
      <c r="AL118" s="186">
        <f t="shared" si="230"/>
        <v>2.1983185816277246</v>
      </c>
      <c r="AM118" s="186">
        <f t="shared" si="230"/>
        <v>2.2453269744970692</v>
      </c>
      <c r="AN118" s="186">
        <f t="shared" si="230"/>
        <v>2.2923353673664137</v>
      </c>
      <c r="AO118" s="186">
        <f t="shared" si="230"/>
        <v>2.3393437602357583</v>
      </c>
      <c r="AP118" s="186">
        <f t="shared" si="230"/>
        <v>2.4079098607332425</v>
      </c>
      <c r="AQ118" s="186">
        <f t="shared" si="230"/>
        <v>2.4764759612307268</v>
      </c>
      <c r="AR118" s="186">
        <f t="shared" si="230"/>
        <v>2.545042061728211</v>
      </c>
      <c r="AS118" s="186">
        <f t="shared" si="230"/>
        <v>2.6136081622256953</v>
      </c>
      <c r="AT118" s="186">
        <f t="shared" si="230"/>
        <v>2.6821742627231795</v>
      </c>
      <c r="AU118" s="186">
        <f t="shared" si="230"/>
        <v>2.7507403632206637</v>
      </c>
      <c r="AV118" s="186">
        <f t="shared" si="230"/>
        <v>2.819306463718148</v>
      </c>
      <c r="AW118" s="186">
        <f t="shared" si="230"/>
        <v>2.8878725642156322</v>
      </c>
      <c r="AX118" s="186">
        <f t="shared" si="230"/>
        <v>2.9564386647131164</v>
      </c>
      <c r="AY118" s="186">
        <f t="shared" si="230"/>
        <v>3.0250047652106007</v>
      </c>
      <c r="AZ118" s="186">
        <f t="shared" si="230"/>
        <v>3.0250047652106007</v>
      </c>
      <c r="BA118" s="186">
        <f t="shared" si="230"/>
        <v>3.0250047652106007</v>
      </c>
    </row>
    <row r="119" spans="1:53">
      <c r="A119" s="116" t="s">
        <v>16</v>
      </c>
      <c r="B119" s="22" t="str">
        <f t="shared" si="219"/>
        <v/>
      </c>
      <c r="C119" s="23" t="str">
        <f t="shared" si="220"/>
        <v/>
      </c>
      <c r="D119" s="57" t="str">
        <f>ITEMS_TRA!C23</f>
        <v>TFHCV8</v>
      </c>
      <c r="E119" s="23" t="str">
        <f t="shared" si="221"/>
        <v/>
      </c>
      <c r="H119" s="23" t="str">
        <f t="shared" si="221"/>
        <v/>
      </c>
      <c r="J119" s="23" t="str">
        <f t="shared" si="221"/>
        <v/>
      </c>
      <c r="K119" s="23" t="str">
        <f t="shared" si="221"/>
        <v/>
      </c>
      <c r="L119" s="125" t="str">
        <f t="shared" si="222"/>
        <v/>
      </c>
      <c r="M119" s="186">
        <f>INDEX('[2]TS BYDem'!J$10:J$59,MATCH($D119,'[2]TS BYDem'!D$10:D$59,0))</f>
        <v>5.8486156921973939E-2</v>
      </c>
      <c r="N119" s="186">
        <f t="shared" ref="N119:BA119" si="231">IF(N$110=-1,O119,IF(N$110=99,M119,IF(N$110=0,INDEX($F100:$N100,0,N$108),(INDEX($F100:$N100,0,N$110+1)-INDEX($F100:$N100,0,N$110))/(INDEX($F$4:$N$4,0,N$110+1)-INDEX($F$4:$N$4,0,N$110))+M119)))</f>
        <v>6.5622085483256903E-2</v>
      </c>
      <c r="O119" s="186">
        <f t="shared" si="231"/>
        <v>7.2758014044539868E-2</v>
      </c>
      <c r="P119" s="186">
        <f t="shared" si="231"/>
        <v>7.9893942605822804E-2</v>
      </c>
      <c r="Q119" s="186">
        <f t="shared" si="231"/>
        <v>9.0970063028559395E-2</v>
      </c>
      <c r="R119" s="186">
        <f t="shared" si="231"/>
        <v>0.102046183451296</v>
      </c>
      <c r="S119" s="186">
        <f t="shared" si="231"/>
        <v>8.2521562368481099E-2</v>
      </c>
      <c r="T119" s="186">
        <f t="shared" si="231"/>
        <v>6.29969412856662E-2</v>
      </c>
      <c r="U119" s="186">
        <f t="shared" si="231"/>
        <v>5.9269704073492357E-2</v>
      </c>
      <c r="V119" s="186">
        <f t="shared" si="231"/>
        <v>6.0260489117384367E-2</v>
      </c>
      <c r="W119" s="186">
        <f t="shared" si="231"/>
        <v>6.1325219378623425E-2</v>
      </c>
      <c r="X119" s="186">
        <f t="shared" si="231"/>
        <v>6.2389949639862483E-2</v>
      </c>
      <c r="Y119" s="186">
        <f t="shared" si="231"/>
        <v>6.3454679901101541E-2</v>
      </c>
      <c r="Z119" s="186">
        <f t="shared" si="231"/>
        <v>6.4519410162340599E-2</v>
      </c>
      <c r="AA119" s="186">
        <f t="shared" si="231"/>
        <v>6.5584140423579657E-2</v>
      </c>
      <c r="AB119" s="186">
        <f t="shared" si="231"/>
        <v>6.6648870684818715E-2</v>
      </c>
      <c r="AC119" s="186">
        <f t="shared" si="231"/>
        <v>6.7713600946057773E-2</v>
      </c>
      <c r="AD119" s="186">
        <f t="shared" si="231"/>
        <v>6.8778331207296831E-2</v>
      </c>
      <c r="AE119" s="186">
        <f t="shared" si="231"/>
        <v>6.9843061468535861E-2</v>
      </c>
      <c r="AF119" s="186">
        <f t="shared" si="231"/>
        <v>7.1599483993274843E-2</v>
      </c>
      <c r="AG119" s="186">
        <f t="shared" si="231"/>
        <v>7.3355906518013825E-2</v>
      </c>
      <c r="AH119" s="186">
        <f t="shared" si="231"/>
        <v>7.5112329042752807E-2</v>
      </c>
      <c r="AI119" s="186">
        <f t="shared" si="231"/>
        <v>7.6868751567491789E-2</v>
      </c>
      <c r="AJ119" s="186">
        <f t="shared" si="231"/>
        <v>7.8625174092230771E-2</v>
      </c>
      <c r="AK119" s="186">
        <f t="shared" si="231"/>
        <v>8.0381596616969753E-2</v>
      </c>
      <c r="AL119" s="186">
        <f t="shared" si="231"/>
        <v>8.2138019141708735E-2</v>
      </c>
      <c r="AM119" s="186">
        <f t="shared" si="231"/>
        <v>8.3894441666447717E-2</v>
      </c>
      <c r="AN119" s="186">
        <f t="shared" si="231"/>
        <v>8.5650864191186699E-2</v>
      </c>
      <c r="AO119" s="186">
        <f t="shared" si="231"/>
        <v>8.7407286715925681E-2</v>
      </c>
      <c r="AP119" s="186">
        <f t="shared" si="231"/>
        <v>8.9969191856610342E-2</v>
      </c>
      <c r="AQ119" s="186">
        <f t="shared" si="231"/>
        <v>9.2531096997295004E-2</v>
      </c>
      <c r="AR119" s="186">
        <f t="shared" si="231"/>
        <v>9.5093002137979665E-2</v>
      </c>
      <c r="AS119" s="186">
        <f t="shared" si="231"/>
        <v>9.7654907278664327E-2</v>
      </c>
      <c r="AT119" s="186">
        <f t="shared" si="231"/>
        <v>0.10021681241934899</v>
      </c>
      <c r="AU119" s="186">
        <f t="shared" si="231"/>
        <v>0.10277871756003365</v>
      </c>
      <c r="AV119" s="186">
        <f t="shared" si="231"/>
        <v>0.10534062270071831</v>
      </c>
      <c r="AW119" s="186">
        <f t="shared" si="231"/>
        <v>0.10790252784140297</v>
      </c>
      <c r="AX119" s="186">
        <f t="shared" si="231"/>
        <v>0.11046443298208763</v>
      </c>
      <c r="AY119" s="186">
        <f t="shared" si="231"/>
        <v>0.1130263381227723</v>
      </c>
      <c r="AZ119" s="186">
        <f t="shared" si="231"/>
        <v>0.1130263381227723</v>
      </c>
      <c r="BA119" s="186">
        <f t="shared" si="231"/>
        <v>0.1130263381227723</v>
      </c>
    </row>
    <row r="120" spans="1:53">
      <c r="A120" s="116" t="s">
        <v>16</v>
      </c>
      <c r="B120" s="22" t="str">
        <f t="shared" si="219"/>
        <v/>
      </c>
      <c r="C120" s="23" t="str">
        <f t="shared" si="220"/>
        <v/>
      </c>
      <c r="D120" s="57" t="str">
        <f>ITEMS_TRA!C24</f>
        <v>TFHCV9</v>
      </c>
      <c r="E120" s="23" t="str">
        <f t="shared" si="221"/>
        <v/>
      </c>
      <c r="H120" s="23" t="str">
        <f t="shared" si="221"/>
        <v/>
      </c>
      <c r="J120" s="23" t="str">
        <f t="shared" si="221"/>
        <v/>
      </c>
      <c r="K120" s="23" t="str">
        <f t="shared" si="221"/>
        <v/>
      </c>
      <c r="L120" s="125" t="str">
        <f t="shared" si="222"/>
        <v/>
      </c>
      <c r="M120" s="186">
        <f>INDEX('[2]TS BYDem'!J$10:J$59,MATCH($D120,'[2]TS BYDem'!D$10:D$59,0))</f>
        <v>3.9969372950314989E-2</v>
      </c>
      <c r="N120" s="186">
        <f t="shared" ref="N120:BA120" si="232">IF(N$110=-1,O120,IF(N$110=99,M120,IF(N$110=0,INDEX($F101:$N101,0,N$108),(INDEX($F101:$N101,0,N$110+1)-INDEX($F101:$N101,0,N$110))/(INDEX($F$4:$N$4,0,N$110+1)-INDEX($F$4:$N$4,0,N$110))+M120)))</f>
        <v>3.4102559292729893E-2</v>
      </c>
      <c r="O120" s="186">
        <f t="shared" si="232"/>
        <v>2.8235745635144794E-2</v>
      </c>
      <c r="P120" s="186">
        <f t="shared" si="232"/>
        <v>2.2368931977559604E-2</v>
      </c>
      <c r="Q120" s="186">
        <f t="shared" si="232"/>
        <v>2.2519965988779801E-2</v>
      </c>
      <c r="R120" s="186">
        <f t="shared" si="232"/>
        <v>2.2670999999999997E-2</v>
      </c>
      <c r="S120" s="186">
        <f t="shared" si="232"/>
        <v>3.2861518920469207E-2</v>
      </c>
      <c r="T120" s="186">
        <f t="shared" si="232"/>
        <v>4.3052037840938417E-2</v>
      </c>
      <c r="U120" s="186">
        <f t="shared" si="232"/>
        <v>4.0504848180205263E-2</v>
      </c>
      <c r="V120" s="186">
        <f t="shared" si="232"/>
        <v>4.1181949549436034E-2</v>
      </c>
      <c r="W120" s="186">
        <f t="shared" si="232"/>
        <v>4.1909584995884062E-2</v>
      </c>
      <c r="X120" s="186">
        <f t="shared" si="232"/>
        <v>4.2637220442332091E-2</v>
      </c>
      <c r="Y120" s="186">
        <f t="shared" si="232"/>
        <v>4.336485588878012E-2</v>
      </c>
      <c r="Z120" s="186">
        <f t="shared" si="232"/>
        <v>4.4092491335228148E-2</v>
      </c>
      <c r="AA120" s="186">
        <f t="shared" si="232"/>
        <v>4.4820126781676177E-2</v>
      </c>
      <c r="AB120" s="186">
        <f t="shared" si="232"/>
        <v>4.5547762228124206E-2</v>
      </c>
      <c r="AC120" s="186">
        <f t="shared" si="232"/>
        <v>4.6275397674572234E-2</v>
      </c>
      <c r="AD120" s="186">
        <f t="shared" si="232"/>
        <v>4.7003033121020263E-2</v>
      </c>
      <c r="AE120" s="186">
        <f t="shared" si="232"/>
        <v>4.7730668567468298E-2</v>
      </c>
      <c r="AF120" s="186">
        <f t="shared" si="232"/>
        <v>4.8931005718074447E-2</v>
      </c>
      <c r="AG120" s="186">
        <f t="shared" si="232"/>
        <v>5.0131342868680595E-2</v>
      </c>
      <c r="AH120" s="186">
        <f t="shared" si="232"/>
        <v>5.1331680019286743E-2</v>
      </c>
      <c r="AI120" s="186">
        <f t="shared" si="232"/>
        <v>5.2532017169892892E-2</v>
      </c>
      <c r="AJ120" s="186">
        <f t="shared" si="232"/>
        <v>5.373235432049904E-2</v>
      </c>
      <c r="AK120" s="186">
        <f t="shared" si="232"/>
        <v>5.4932691471105188E-2</v>
      </c>
      <c r="AL120" s="186">
        <f t="shared" si="232"/>
        <v>5.6133028621711337E-2</v>
      </c>
      <c r="AM120" s="186">
        <f t="shared" si="232"/>
        <v>5.7333365772317485E-2</v>
      </c>
      <c r="AN120" s="186">
        <f t="shared" si="232"/>
        <v>5.8533702922923633E-2</v>
      </c>
      <c r="AO120" s="186">
        <f t="shared" si="232"/>
        <v>5.9734040073529761E-2</v>
      </c>
      <c r="AP120" s="186">
        <f t="shared" si="232"/>
        <v>6.1484843125403428E-2</v>
      </c>
      <c r="AQ120" s="186">
        <f t="shared" si="232"/>
        <v>6.3235646177277102E-2</v>
      </c>
      <c r="AR120" s="186">
        <f t="shared" si="232"/>
        <v>6.4986449229150769E-2</v>
      </c>
      <c r="AS120" s="186">
        <f t="shared" si="232"/>
        <v>6.6737252281024437E-2</v>
      </c>
      <c r="AT120" s="186">
        <f t="shared" si="232"/>
        <v>6.8488055332898104E-2</v>
      </c>
      <c r="AU120" s="186">
        <f t="shared" si="232"/>
        <v>7.0238858384771771E-2</v>
      </c>
      <c r="AV120" s="186">
        <f t="shared" si="232"/>
        <v>7.1989661436645438E-2</v>
      </c>
      <c r="AW120" s="186">
        <f t="shared" si="232"/>
        <v>7.3740464488519106E-2</v>
      </c>
      <c r="AX120" s="186">
        <f t="shared" si="232"/>
        <v>7.5491267540392773E-2</v>
      </c>
      <c r="AY120" s="186">
        <f t="shared" si="232"/>
        <v>7.7242070592266454E-2</v>
      </c>
      <c r="AZ120" s="186">
        <f t="shared" si="232"/>
        <v>7.7242070592266454E-2</v>
      </c>
      <c r="BA120" s="186">
        <f t="shared" si="232"/>
        <v>7.7242070592266454E-2</v>
      </c>
    </row>
    <row r="121" spans="1:53">
      <c r="A121" s="116" t="s">
        <v>16</v>
      </c>
      <c r="B121" s="22" t="str">
        <f t="shared" si="219"/>
        <v/>
      </c>
      <c r="C121" s="23" t="str">
        <f t="shared" si="220"/>
        <v/>
      </c>
      <c r="D121" s="57" t="str">
        <f>ITEMS_TRA!C25</f>
        <v>TFRCO</v>
      </c>
      <c r="E121" s="23" t="str">
        <f t="shared" si="221"/>
        <v/>
      </c>
      <c r="H121" s="23" t="str">
        <f t="shared" si="221"/>
        <v/>
      </c>
      <c r="J121" s="23" t="str">
        <f t="shared" si="221"/>
        <v/>
      </c>
      <c r="K121" s="23" t="str">
        <f t="shared" si="221"/>
        <v/>
      </c>
      <c r="L121" s="125" t="str">
        <f t="shared" si="222"/>
        <v/>
      </c>
      <c r="M121" s="186">
        <f>INDEX('[2]TS BYDem'!J$10:J$59,MATCH($D121,'[2]TS BYDem'!D$10:D$59,0))</f>
        <v>22</v>
      </c>
      <c r="N121" s="186">
        <f t="shared" ref="N121:BA121" si="233">IF(N$110=-1,O121,IF(N$110=99,M121,IF(N$110=0,INDEX($F102:$N102,0,N$108),(INDEX($F102:$N102,0,N$110+1)-INDEX($F102:$N102,0,N$110))/(INDEX($F$4:$N$4,0,N$110+1)-INDEX($F$4:$N$4,0,N$110))+M121)))</f>
        <v>22.352445526032646</v>
      </c>
      <c r="O121" s="186">
        <f t="shared" si="233"/>
        <v>22.704891052065292</v>
      </c>
      <c r="P121" s="186">
        <f t="shared" si="233"/>
        <v>23.057336578097942</v>
      </c>
      <c r="Q121" s="186">
        <f t="shared" si="233"/>
        <v>23.249070137552067</v>
      </c>
      <c r="R121" s="186">
        <f t="shared" si="233"/>
        <v>23.440803697006192</v>
      </c>
      <c r="S121" s="186">
        <f t="shared" si="233"/>
        <v>23.568784279696359</v>
      </c>
      <c r="T121" s="186">
        <f t="shared" si="233"/>
        <v>23.696764862386523</v>
      </c>
      <c r="U121" s="186">
        <f t="shared" si="233"/>
        <v>22.294737049596232</v>
      </c>
      <c r="V121" s="186">
        <f t="shared" si="233"/>
        <v>22.667428163404651</v>
      </c>
      <c r="W121" s="186">
        <f t="shared" si="233"/>
        <v>23.0679343169977</v>
      </c>
      <c r="X121" s="186">
        <f t="shared" si="233"/>
        <v>23.46844047059075</v>
      </c>
      <c r="Y121" s="186">
        <f t="shared" si="233"/>
        <v>23.868946624183799</v>
      </c>
      <c r="Z121" s="186">
        <f t="shared" si="233"/>
        <v>24.269452777776849</v>
      </c>
      <c r="AA121" s="186">
        <f t="shared" si="233"/>
        <v>24.669958931369898</v>
      </c>
      <c r="AB121" s="186">
        <f t="shared" si="233"/>
        <v>25.070465084962947</v>
      </c>
      <c r="AC121" s="186">
        <f t="shared" si="233"/>
        <v>25.470971238555997</v>
      </c>
      <c r="AD121" s="186">
        <f t="shared" si="233"/>
        <v>25.871477392149046</v>
      </c>
      <c r="AE121" s="186">
        <f t="shared" si="233"/>
        <v>26.271983545742081</v>
      </c>
      <c r="AF121" s="186">
        <f t="shared" si="233"/>
        <v>26.932674854213737</v>
      </c>
      <c r="AG121" s="186">
        <f t="shared" si="233"/>
        <v>27.593366162685392</v>
      </c>
      <c r="AH121" s="186">
        <f t="shared" si="233"/>
        <v>28.254057471157047</v>
      </c>
      <c r="AI121" s="186">
        <f t="shared" si="233"/>
        <v>28.914748779628702</v>
      </c>
      <c r="AJ121" s="186">
        <f t="shared" si="233"/>
        <v>29.575440088100358</v>
      </c>
      <c r="AK121" s="186">
        <f t="shared" si="233"/>
        <v>30.236131396572013</v>
      </c>
      <c r="AL121" s="186">
        <f t="shared" si="233"/>
        <v>30.896822705043668</v>
      </c>
      <c r="AM121" s="186">
        <f t="shared" si="233"/>
        <v>31.557514013515323</v>
      </c>
      <c r="AN121" s="186">
        <f t="shared" si="233"/>
        <v>32.218205321986979</v>
      </c>
      <c r="AO121" s="186">
        <f t="shared" si="233"/>
        <v>32.878896630458648</v>
      </c>
      <c r="AP121" s="186">
        <f t="shared" si="233"/>
        <v>33.842576175521842</v>
      </c>
      <c r="AQ121" s="186">
        <f t="shared" si="233"/>
        <v>34.806255720585035</v>
      </c>
      <c r="AR121" s="186">
        <f t="shared" si="233"/>
        <v>35.769935265648229</v>
      </c>
      <c r="AS121" s="186">
        <f t="shared" si="233"/>
        <v>36.733614810711423</v>
      </c>
      <c r="AT121" s="186">
        <f t="shared" si="233"/>
        <v>37.697294355774616</v>
      </c>
      <c r="AU121" s="186">
        <f t="shared" si="233"/>
        <v>38.66097390083781</v>
      </c>
      <c r="AV121" s="186">
        <f t="shared" si="233"/>
        <v>39.624653445901004</v>
      </c>
      <c r="AW121" s="186">
        <f t="shared" si="233"/>
        <v>40.588332990964197</v>
      </c>
      <c r="AX121" s="186">
        <f t="shared" si="233"/>
        <v>41.552012536027391</v>
      </c>
      <c r="AY121" s="186">
        <f t="shared" si="233"/>
        <v>42.515692081090613</v>
      </c>
      <c r="AZ121" s="186">
        <f t="shared" si="233"/>
        <v>42.515692081090613</v>
      </c>
      <c r="BA121" s="186">
        <f t="shared" si="233"/>
        <v>42.515692081090613</v>
      </c>
    </row>
    <row r="122" spans="1:53">
      <c r="A122" s="116" t="s">
        <v>16</v>
      </c>
      <c r="B122" s="22" t="str">
        <f t="shared" si="219"/>
        <v/>
      </c>
      <c r="C122" s="23" t="str">
        <f t="shared" si="220"/>
        <v/>
      </c>
      <c r="D122" s="57" t="str">
        <f>ITEMS_TRA!C26</f>
        <v>TFROT</v>
      </c>
      <c r="E122" s="23" t="str">
        <f t="shared" si="221"/>
        <v/>
      </c>
      <c r="H122" s="23" t="str">
        <f t="shared" si="221"/>
        <v/>
      </c>
      <c r="J122" s="23" t="str">
        <f t="shared" si="221"/>
        <v/>
      </c>
      <c r="K122" s="23" t="str">
        <f t="shared" si="221"/>
        <v/>
      </c>
      <c r="L122" s="125" t="str">
        <f t="shared" si="222"/>
        <v/>
      </c>
      <c r="M122" s="186">
        <f>INDEX('[2]TS BYDem'!J$10:J$59,MATCH($D122,'[2]TS BYDem'!D$10:D$59,0))</f>
        <v>25.1</v>
      </c>
      <c r="N122" s="186">
        <f t="shared" ref="N122:BA122" si="234">IF(N$110=-1,O122,IF(N$110=99,M122,IF(N$110=0,INDEX($F103:$N103,0,N$108),(INDEX($F103:$N103,0,N$110+1)-INDEX($F103:$N103,0,N$110))/(INDEX($F$4:$N$4,0,N$110+1)-INDEX($F$4:$N$4,0,N$110))+M122)))</f>
        <v>25.502108304700894</v>
      </c>
      <c r="O122" s="186">
        <f t="shared" si="234"/>
        <v>25.904216609401786</v>
      </c>
      <c r="P122" s="186">
        <f t="shared" si="234"/>
        <v>26.306324914102674</v>
      </c>
      <c r="Q122" s="186">
        <f t="shared" si="234"/>
        <v>26.525075475116246</v>
      </c>
      <c r="R122" s="186">
        <f t="shared" si="234"/>
        <v>26.743826036129814</v>
      </c>
      <c r="S122" s="186">
        <f t="shared" si="234"/>
        <v>26.889840246380864</v>
      </c>
      <c r="T122" s="186">
        <f t="shared" si="234"/>
        <v>27.035854456631917</v>
      </c>
      <c r="U122" s="186">
        <f t="shared" si="234"/>
        <v>25.436268179312091</v>
      </c>
      <c r="V122" s="186">
        <f t="shared" si="234"/>
        <v>25.861474859157145</v>
      </c>
      <c r="W122" s="186">
        <f t="shared" si="234"/>
        <v>26.318415970756487</v>
      </c>
      <c r="X122" s="186">
        <f t="shared" si="234"/>
        <v>26.775357082355828</v>
      </c>
      <c r="Y122" s="186">
        <f t="shared" si="234"/>
        <v>27.23229819395517</v>
      </c>
      <c r="Z122" s="186">
        <f t="shared" si="234"/>
        <v>27.689239305554512</v>
      </c>
      <c r="AA122" s="186">
        <f t="shared" si="234"/>
        <v>28.146180417153854</v>
      </c>
      <c r="AB122" s="186">
        <f t="shared" si="234"/>
        <v>28.603121528753196</v>
      </c>
      <c r="AC122" s="186">
        <f t="shared" si="234"/>
        <v>29.060062640352537</v>
      </c>
      <c r="AD122" s="186">
        <f t="shared" si="234"/>
        <v>29.517003751951879</v>
      </c>
      <c r="AE122" s="186">
        <f t="shared" si="234"/>
        <v>29.973944863551218</v>
      </c>
      <c r="AF122" s="186">
        <f t="shared" si="234"/>
        <v>30.727733583671153</v>
      </c>
      <c r="AG122" s="186">
        <f t="shared" si="234"/>
        <v>31.481522303791088</v>
      </c>
      <c r="AH122" s="186">
        <f t="shared" si="234"/>
        <v>32.235311023911024</v>
      </c>
      <c r="AI122" s="186">
        <f t="shared" si="234"/>
        <v>32.989099744030959</v>
      </c>
      <c r="AJ122" s="186">
        <f t="shared" si="234"/>
        <v>33.742888464150894</v>
      </c>
      <c r="AK122" s="186">
        <f t="shared" si="234"/>
        <v>34.49667718427083</v>
      </c>
      <c r="AL122" s="186">
        <f t="shared" si="234"/>
        <v>35.250465904390765</v>
      </c>
      <c r="AM122" s="186">
        <f t="shared" si="234"/>
        <v>36.0042546245107</v>
      </c>
      <c r="AN122" s="186">
        <f t="shared" si="234"/>
        <v>36.758043344630636</v>
      </c>
      <c r="AO122" s="186">
        <f t="shared" si="234"/>
        <v>37.511832064750571</v>
      </c>
      <c r="AP122" s="186">
        <f t="shared" si="234"/>
        <v>38.611302818436307</v>
      </c>
      <c r="AQ122" s="186">
        <f t="shared" si="234"/>
        <v>39.710773572122044</v>
      </c>
      <c r="AR122" s="186">
        <f t="shared" si="234"/>
        <v>40.81024432580778</v>
      </c>
      <c r="AS122" s="186">
        <f t="shared" si="234"/>
        <v>41.909715079493516</v>
      </c>
      <c r="AT122" s="186">
        <f t="shared" si="234"/>
        <v>43.009185833179252</v>
      </c>
      <c r="AU122" s="186">
        <f t="shared" si="234"/>
        <v>44.108656586864988</v>
      </c>
      <c r="AV122" s="186">
        <f t="shared" si="234"/>
        <v>45.208127340550725</v>
      </c>
      <c r="AW122" s="186">
        <f t="shared" si="234"/>
        <v>46.307598094236461</v>
      </c>
      <c r="AX122" s="186">
        <f t="shared" si="234"/>
        <v>47.407068847922197</v>
      </c>
      <c r="AY122" s="186">
        <f t="shared" si="234"/>
        <v>48.506539601607955</v>
      </c>
      <c r="AZ122" s="186">
        <f t="shared" si="234"/>
        <v>48.506539601607955</v>
      </c>
      <c r="BA122" s="186">
        <f t="shared" si="234"/>
        <v>48.506539601607955</v>
      </c>
    </row>
    <row r="123" spans="1:53">
      <c r="A123" s="40" t="s">
        <v>16</v>
      </c>
      <c r="B123" s="22" t="str">
        <f t="shared" si="219"/>
        <v/>
      </c>
      <c r="C123" s="124" t="str">
        <f t="shared" si="220"/>
        <v/>
      </c>
      <c r="D123" s="57" t="str">
        <f>ITEMS_TRA!C27</f>
        <v>TFREX</v>
      </c>
      <c r="E123" s="124" t="str">
        <f t="shared" si="221"/>
        <v/>
      </c>
      <c r="H123" s="124" t="str">
        <f t="shared" si="221"/>
        <v/>
      </c>
      <c r="J123" s="124" t="str">
        <f t="shared" si="221"/>
        <v/>
      </c>
      <c r="K123" s="124" t="str">
        <f t="shared" si="221"/>
        <v/>
      </c>
      <c r="L123" s="125" t="str">
        <f t="shared" si="222"/>
        <v/>
      </c>
      <c r="M123" s="186">
        <f>INDEX('[2]TS BYDem'!J$10:J$59,MATCH($D123,'[2]TS BYDem'!D$10:D$59,0))</f>
        <v>82</v>
      </c>
      <c r="N123" s="186">
        <f t="shared" ref="N123:BA123" si="235">IF(N$110=-1,O123,IF(N$110=99,M123,IF(N$110=0,INDEX($F104:$N104,0,N$108),(INDEX($F104:$N104,0,N$110+1)-INDEX($F104:$N104,0,N$110))/(INDEX($F$4:$N$4,0,N$110+1)-INDEX($F$4:$N$4,0,N$110))+M123)))</f>
        <v>82</v>
      </c>
      <c r="O123" s="186">
        <f t="shared" si="235"/>
        <v>82</v>
      </c>
      <c r="P123" s="186">
        <f t="shared" si="235"/>
        <v>82</v>
      </c>
      <c r="Q123" s="186">
        <f t="shared" si="235"/>
        <v>82</v>
      </c>
      <c r="R123" s="186">
        <f t="shared" si="235"/>
        <v>82</v>
      </c>
      <c r="S123" s="186">
        <f t="shared" si="235"/>
        <v>82.736172776937963</v>
      </c>
      <c r="T123" s="186">
        <f t="shared" si="235"/>
        <v>83.472345553875911</v>
      </c>
      <c r="U123" s="186">
        <f t="shared" si="235"/>
        <v>75.296230147600639</v>
      </c>
      <c r="V123" s="186">
        <f t="shared" si="235"/>
        <v>79.105852655656577</v>
      </c>
      <c r="W123" s="186">
        <f t="shared" si="235"/>
        <v>80.098633146166861</v>
      </c>
      <c r="X123" s="186">
        <f t="shared" si="235"/>
        <v>81.091413636677146</v>
      </c>
      <c r="Y123" s="186">
        <f t="shared" si="235"/>
        <v>82.08419412718743</v>
      </c>
      <c r="Z123" s="186">
        <f t="shared" si="235"/>
        <v>83.076974617697715</v>
      </c>
      <c r="AA123" s="186">
        <f t="shared" si="235"/>
        <v>84.069755108208</v>
      </c>
      <c r="AB123" s="186">
        <f t="shared" si="235"/>
        <v>85.062535598718284</v>
      </c>
      <c r="AC123" s="186">
        <f t="shared" si="235"/>
        <v>86.055316089228569</v>
      </c>
      <c r="AD123" s="186">
        <f t="shared" si="235"/>
        <v>87.048096579738854</v>
      </c>
      <c r="AE123" s="186">
        <f t="shared" si="235"/>
        <v>88.040877070249081</v>
      </c>
      <c r="AF123" s="186">
        <f t="shared" si="235"/>
        <v>89.889451104345511</v>
      </c>
      <c r="AG123" s="186">
        <f t="shared" si="235"/>
        <v>91.738025138441941</v>
      </c>
      <c r="AH123" s="186">
        <f t="shared" si="235"/>
        <v>93.586599172538371</v>
      </c>
      <c r="AI123" s="186">
        <f t="shared" si="235"/>
        <v>95.435173206634801</v>
      </c>
      <c r="AJ123" s="186">
        <f t="shared" si="235"/>
        <v>97.28374724073123</v>
      </c>
      <c r="AK123" s="186">
        <f t="shared" si="235"/>
        <v>99.13232127482766</v>
      </c>
      <c r="AL123" s="186">
        <f t="shared" si="235"/>
        <v>100.98089530892409</v>
      </c>
      <c r="AM123" s="186">
        <f t="shared" si="235"/>
        <v>102.82946934302052</v>
      </c>
      <c r="AN123" s="186">
        <f t="shared" si="235"/>
        <v>104.67804337711695</v>
      </c>
      <c r="AO123" s="186">
        <f t="shared" si="235"/>
        <v>106.52661741121335</v>
      </c>
      <c r="AP123" s="186">
        <f t="shared" si="235"/>
        <v>108.83266535327128</v>
      </c>
      <c r="AQ123" s="186">
        <f t="shared" si="235"/>
        <v>111.13871329532921</v>
      </c>
      <c r="AR123" s="186">
        <f t="shared" si="235"/>
        <v>113.44476123738714</v>
      </c>
      <c r="AS123" s="186">
        <f t="shared" si="235"/>
        <v>115.75080917944507</v>
      </c>
      <c r="AT123" s="186">
        <f t="shared" si="235"/>
        <v>118.056857121503</v>
      </c>
      <c r="AU123" s="186">
        <f t="shared" si="235"/>
        <v>120.36290506356093</v>
      </c>
      <c r="AV123" s="186">
        <f t="shared" si="235"/>
        <v>122.66895300561886</v>
      </c>
      <c r="AW123" s="186">
        <f t="shared" si="235"/>
        <v>124.97500094767679</v>
      </c>
      <c r="AX123" s="186">
        <f t="shared" si="235"/>
        <v>127.28104888973472</v>
      </c>
      <c r="AY123" s="186">
        <f t="shared" si="235"/>
        <v>129.58709683179265</v>
      </c>
      <c r="AZ123" s="186">
        <f t="shared" si="235"/>
        <v>129.58709683179265</v>
      </c>
      <c r="BA123" s="186">
        <f t="shared" si="235"/>
        <v>129.58709683179265</v>
      </c>
    </row>
    <row r="124" spans="1:53">
      <c r="A124" s="187" t="s">
        <v>16</v>
      </c>
      <c r="B124" s="13"/>
      <c r="C124" s="13"/>
      <c r="D124" s="187"/>
      <c r="E124" s="187"/>
      <c r="F124" s="187"/>
      <c r="G124" s="187"/>
      <c r="H124" s="187"/>
      <c r="I124" s="187"/>
      <c r="J124" s="63"/>
      <c r="K124" s="63"/>
      <c r="L124" s="63"/>
      <c r="M124" s="63"/>
      <c r="N124" s="10"/>
      <c r="P124" s="10"/>
    </row>
    <row r="125" spans="1:53">
      <c r="A125" s="188" t="s">
        <v>16</v>
      </c>
      <c r="B125" s="13"/>
      <c r="C125" s="13"/>
      <c r="D125" s="187"/>
      <c r="E125" s="187"/>
      <c r="F125" s="187"/>
      <c r="G125" s="187"/>
      <c r="H125" s="63"/>
      <c r="I125" s="63"/>
      <c r="J125" s="63"/>
      <c r="K125" s="63"/>
      <c r="L125" s="63"/>
      <c r="M125" s="187"/>
      <c r="N125" s="10"/>
    </row>
    <row r="126" spans="1:53">
      <c r="A126" s="185" t="s">
        <v>16</v>
      </c>
      <c r="B126" s="186"/>
      <c r="C126" s="186"/>
      <c r="H126" s="10"/>
      <c r="I126" s="10"/>
      <c r="J126" s="10"/>
      <c r="K126" s="10"/>
      <c r="L126" s="10"/>
      <c r="N126" s="10"/>
    </row>
    <row r="127" spans="1:53" s="324" customFormat="1" ht="23.25">
      <c r="A127" s="114" t="s">
        <v>16</v>
      </c>
      <c r="B127" s="118" t="s">
        <v>19</v>
      </c>
      <c r="C127" s="118" t="s">
        <v>20</v>
      </c>
      <c r="D127" s="118" t="s">
        <v>21</v>
      </c>
      <c r="E127" s="118" t="s">
        <v>22</v>
      </c>
      <c r="F127" s="118" t="s">
        <v>23</v>
      </c>
      <c r="G127" s="118" t="s">
        <v>24</v>
      </c>
      <c r="H127" s="118" t="s">
        <v>617</v>
      </c>
      <c r="I127" s="118" t="s">
        <v>617</v>
      </c>
      <c r="J127" s="118" t="s">
        <v>652</v>
      </c>
      <c r="K127" s="119" t="s">
        <v>25</v>
      </c>
      <c r="L127" s="10"/>
      <c r="N127" s="10"/>
    </row>
    <row r="128" spans="1:53" s="324" customFormat="1">
      <c r="A128" s="114" t="s">
        <v>16</v>
      </c>
      <c r="B128" s="191">
        <v>1</v>
      </c>
      <c r="C128" s="191">
        <v>2012</v>
      </c>
      <c r="D128" s="191">
        <v>2015</v>
      </c>
      <c r="E128" s="191">
        <v>2017</v>
      </c>
      <c r="F128" s="191">
        <v>2019</v>
      </c>
      <c r="G128" s="191">
        <v>2020</v>
      </c>
      <c r="H128" s="191">
        <v>2021</v>
      </c>
      <c r="I128" s="191">
        <v>2030</v>
      </c>
      <c r="J128" s="191">
        <v>2040</v>
      </c>
      <c r="K128" s="237">
        <v>2050</v>
      </c>
      <c r="L128" s="10"/>
      <c r="N128" s="10"/>
    </row>
    <row r="129" spans="1:76" s="324" customFormat="1">
      <c r="A129" s="40" t="s">
        <v>16</v>
      </c>
      <c r="B129" s="185">
        <v>0</v>
      </c>
      <c r="C129" s="185">
        <f>INDEX($C128:$K128,0,COUNT($C128:$K128)-C130)</f>
        <v>2050</v>
      </c>
      <c r="D129" s="283">
        <f>INDEX($C128:$K128,0,COUNT($C128:$K128)-D130)</f>
        <v>2040</v>
      </c>
      <c r="E129" s="283">
        <f>INDEX($C128:$K128,0,COUNT($C128:$K128)-E130)</f>
        <v>2030</v>
      </c>
      <c r="F129" s="283">
        <f>INDEX($C128:$K128,0,COUNT($C128:$K128)-F130)</f>
        <v>2021</v>
      </c>
      <c r="G129" s="283">
        <f>INDEX($C128:$K128,0,COUNT($C128:$K128)-G130)</f>
        <v>2020</v>
      </c>
      <c r="H129" s="283">
        <f>INDEX($C128:$K128,0,COUNT($C128:$K128)-H130)</f>
        <v>2019</v>
      </c>
      <c r="I129" s="283">
        <f>INDEX($C128:$K128,0,COUNT($C128:$K128)-I130)</f>
        <v>2017</v>
      </c>
      <c r="J129" s="283">
        <f>INDEX($C128:$K128,0,COUNT($C128:$K128)-J130)</f>
        <v>2015</v>
      </c>
      <c r="K129" s="283">
        <f>INDEX($C128:$K128,0,COUNT($C128:$K128)-K130)</f>
        <v>2012</v>
      </c>
      <c r="L129" s="10"/>
      <c r="N129" s="10"/>
    </row>
    <row r="130" spans="1:76" s="324" customFormat="1">
      <c r="A130" s="40" t="s">
        <v>16</v>
      </c>
      <c r="B130" s="185">
        <v>-1</v>
      </c>
      <c r="C130" s="185">
        <v>0</v>
      </c>
      <c r="D130" s="283">
        <v>1</v>
      </c>
      <c r="E130" s="283">
        <v>2</v>
      </c>
      <c r="F130" s="283">
        <v>3</v>
      </c>
      <c r="G130" s="283">
        <v>4</v>
      </c>
      <c r="H130" s="283">
        <v>5</v>
      </c>
      <c r="I130" s="283">
        <v>6</v>
      </c>
      <c r="J130" s="283">
        <v>7</v>
      </c>
      <c r="K130" s="283">
        <v>8</v>
      </c>
      <c r="L130" s="10"/>
      <c r="N130" s="10"/>
    </row>
    <row r="131" spans="1:76" s="324" customFormat="1">
      <c r="A131" s="116" t="s">
        <v>16</v>
      </c>
      <c r="B131" s="117"/>
      <c r="C131" s="117"/>
      <c r="D131" s="117"/>
      <c r="E131" s="117"/>
      <c r="F131" s="117"/>
      <c r="G131" s="117"/>
      <c r="H131" s="117"/>
      <c r="I131" s="117"/>
      <c r="J131" s="117"/>
      <c r="K131" s="122"/>
      <c r="L131" s="10"/>
      <c r="N131" s="10"/>
    </row>
    <row r="132" spans="1:76">
      <c r="A132" s="328" t="s">
        <v>16</v>
      </c>
      <c r="J132" s="185">
        <v>2012</v>
      </c>
      <c r="K132" s="185">
        <v>2013</v>
      </c>
      <c r="L132" s="185">
        <v>2014</v>
      </c>
      <c r="M132" s="185">
        <v>2015</v>
      </c>
      <c r="N132" s="185">
        <v>2016</v>
      </c>
      <c r="O132" s="185">
        <v>2017</v>
      </c>
      <c r="P132" s="185">
        <v>2018</v>
      </c>
      <c r="Q132" s="185">
        <v>2019</v>
      </c>
      <c r="R132" s="185">
        <v>2020</v>
      </c>
      <c r="S132" s="185">
        <v>2021</v>
      </c>
      <c r="T132" s="185">
        <v>2022</v>
      </c>
      <c r="U132" s="185">
        <v>2023</v>
      </c>
      <c r="V132" s="185">
        <v>2024</v>
      </c>
      <c r="W132" s="185">
        <v>2025</v>
      </c>
      <c r="X132" s="185">
        <v>2026</v>
      </c>
      <c r="Y132" s="185">
        <v>2027</v>
      </c>
      <c r="Z132" s="185">
        <v>2028</v>
      </c>
      <c r="AA132" s="185">
        <v>2029</v>
      </c>
      <c r="AB132" s="185">
        <v>2030</v>
      </c>
      <c r="AC132" s="185">
        <v>2031</v>
      </c>
      <c r="AD132" s="185">
        <v>2032</v>
      </c>
      <c r="AE132" s="185">
        <v>2033</v>
      </c>
      <c r="AF132" s="185">
        <v>2034</v>
      </c>
      <c r="AG132" s="185">
        <v>2035</v>
      </c>
      <c r="AH132" s="185">
        <v>2036</v>
      </c>
      <c r="AI132" s="185">
        <v>2037</v>
      </c>
      <c r="AJ132" s="185">
        <v>2038</v>
      </c>
      <c r="AK132" s="185">
        <v>2039</v>
      </c>
      <c r="AL132" s="185">
        <v>2040</v>
      </c>
      <c r="AM132" s="185">
        <v>2045</v>
      </c>
      <c r="AN132" s="185">
        <v>2050</v>
      </c>
      <c r="AO132" s="185">
        <v>2060</v>
      </c>
      <c r="AP132" s="185">
        <v>2070</v>
      </c>
    </row>
    <row r="133" spans="1:76" s="191" customFormat="1">
      <c r="A133" s="191" t="s">
        <v>16</v>
      </c>
      <c r="J133" s="191">
        <f>MATCH(J$132,$C$128:$K$128,$B128)</f>
        <v>1</v>
      </c>
      <c r="K133" s="191">
        <f>MATCH(K$132,$C$128:$K$128,$B128)</f>
        <v>1</v>
      </c>
      <c r="L133" s="191">
        <f>MATCH(L$132,$C$128:$K$128,$B128)</f>
        <v>1</v>
      </c>
      <c r="M133" s="191">
        <f>MATCH(M$132,$C$128:$K$128,$B128)</f>
        <v>2</v>
      </c>
      <c r="N133" s="191">
        <f>MATCH(N$132,$C$128:$K$128,$B128)</f>
        <v>2</v>
      </c>
      <c r="O133" s="191">
        <f>MATCH(O$132,$C$128:$K$128,$B128)</f>
        <v>3</v>
      </c>
      <c r="P133" s="191">
        <f>MATCH(P$132,$C$128:$K$128,$B128)</f>
        <v>3</v>
      </c>
      <c r="Q133" s="191">
        <f>MATCH(Q$132,$C$128:$K$128,$B128)</f>
        <v>4</v>
      </c>
      <c r="R133" s="191">
        <f>MATCH(R$132,$C$128:$K$128,$B128)</f>
        <v>5</v>
      </c>
      <c r="S133" s="191">
        <f>MATCH(S$132,$C$128:$K$128,$B128)</f>
        <v>6</v>
      </c>
      <c r="T133" s="191">
        <f>MATCH(T$132,$C$128:$K$128,$B128)</f>
        <v>6</v>
      </c>
      <c r="U133" s="191">
        <f>MATCH(U$132,$C$128:$K$128,$B128)</f>
        <v>6</v>
      </c>
      <c r="V133" s="191">
        <f>MATCH(V$132,$C$128:$K$128,$B128)</f>
        <v>6</v>
      </c>
      <c r="W133" s="191">
        <f>MATCH(W$132,$C$128:$K$128,$B128)</f>
        <v>6</v>
      </c>
      <c r="X133" s="191">
        <f>MATCH(X$132,$C$128:$K$128,$B128)</f>
        <v>6</v>
      </c>
      <c r="Y133" s="191">
        <f>MATCH(Y$132,$C$128:$K$128,$B128)</f>
        <v>6</v>
      </c>
      <c r="Z133" s="191">
        <f>MATCH(Z$132,$C$128:$K$128,$B128)</f>
        <v>6</v>
      </c>
      <c r="AA133" s="191">
        <f>MATCH(AA$132,$C$128:$K$128,$B128)</f>
        <v>6</v>
      </c>
      <c r="AB133" s="191">
        <f>MATCH(AB$132,$C$128:$K$128,$B128)</f>
        <v>7</v>
      </c>
      <c r="AC133" s="191">
        <f>MATCH(AC$132,$C$128:$K$128,$B128)</f>
        <v>7</v>
      </c>
      <c r="AD133" s="191">
        <f>MATCH(AD$132,$C$128:$K$128,$B128)</f>
        <v>7</v>
      </c>
      <c r="AE133" s="191">
        <f>MATCH(AE$132,$C$128:$K$128,$B128)</f>
        <v>7</v>
      </c>
      <c r="AF133" s="191">
        <f>MATCH(AF$132,$C$128:$K$128,$B128)</f>
        <v>7</v>
      </c>
      <c r="AG133" s="191">
        <f>MATCH(AG$132,$C$128:$K$128,$B128)</f>
        <v>7</v>
      </c>
      <c r="AH133" s="191">
        <f>MATCH(AH$132,$C$128:$K$128,$B128)</f>
        <v>7</v>
      </c>
      <c r="AI133" s="191">
        <f>MATCH(AI$132,$C$128:$K$128,$B128)</f>
        <v>7</v>
      </c>
      <c r="AJ133" s="191">
        <f>MATCH(AJ$132,$C$128:$K$128,$B128)</f>
        <v>7</v>
      </c>
      <c r="AK133" s="191">
        <f>MATCH(AK$132,$C$128:$K$128,$B128)</f>
        <v>7</v>
      </c>
      <c r="AL133" s="191">
        <f>MATCH(AL$132,$C$128:$K$128,$B128)</f>
        <v>8</v>
      </c>
      <c r="AM133" s="191">
        <f>MATCH(AM$132,$C$128:$K$128,$B128)</f>
        <v>8</v>
      </c>
      <c r="AN133" s="191">
        <f>MATCH(AN$132,$C$128:$K$128,$B128)</f>
        <v>9</v>
      </c>
      <c r="AO133" s="191">
        <f>MATCH(AO$132,$C$128:$K$128,$B128)</f>
        <v>9</v>
      </c>
      <c r="AP133" s="191">
        <f>MATCH(AP$132,$C$128:$K$128,$B128)</f>
        <v>9</v>
      </c>
      <c r="AQ133" s="185"/>
      <c r="AR133" s="185"/>
      <c r="AS133" s="185"/>
      <c r="AT133" s="185"/>
      <c r="AU133" s="185"/>
      <c r="AV133" s="185"/>
      <c r="AW133" s="185"/>
      <c r="AX133" s="185"/>
      <c r="AY133" s="185"/>
      <c r="AZ133" s="185"/>
      <c r="BA133" s="185"/>
      <c r="BB133" s="185"/>
      <c r="BC133" s="185"/>
      <c r="BD133" s="185"/>
      <c r="BE133" s="185"/>
      <c r="BF133" s="185"/>
      <c r="BG133" s="185"/>
      <c r="BH133" s="185"/>
      <c r="BI133" s="185"/>
      <c r="BJ133" s="185"/>
      <c r="BK133" s="185"/>
      <c r="BL133" s="185"/>
      <c r="BM133" s="185"/>
      <c r="BN133" s="185"/>
      <c r="BO133" s="185"/>
      <c r="BP133" s="185"/>
      <c r="BQ133" s="185"/>
      <c r="BR133" s="185"/>
      <c r="BS133" s="185"/>
      <c r="BT133" s="185"/>
      <c r="BU133" s="185"/>
      <c r="BV133" s="185"/>
      <c r="BW133" s="185"/>
      <c r="BX133" s="185"/>
    </row>
    <row r="134" spans="1:76">
      <c r="A134" s="188" t="s">
        <v>16</v>
      </c>
      <c r="J134" s="40">
        <f>MATCH(J$132,$C$128:$K$128,$B129)</f>
        <v>1</v>
      </c>
      <c r="K134" s="185" t="e">
        <f>MATCH(K$132,$C$128:$K$128,$B129)</f>
        <v>#N/A</v>
      </c>
      <c r="L134" s="185" t="e">
        <f>MATCH(L$132,$C$128:$K$128,$B129)</f>
        <v>#N/A</v>
      </c>
      <c r="M134" s="185">
        <f>MATCH(M$132,$C$128:$K$128,$B129)</f>
        <v>2</v>
      </c>
      <c r="N134" s="185" t="e">
        <f>MATCH(N$132,$C$128:$K$128,$B129)</f>
        <v>#N/A</v>
      </c>
      <c r="O134" s="185">
        <f>MATCH(O$132,$C$128:$K$128,$B129)</f>
        <v>3</v>
      </c>
      <c r="P134" s="185" t="e">
        <f>MATCH(P$132,$C$128:$K$128,$B129)</f>
        <v>#N/A</v>
      </c>
      <c r="Q134" s="185">
        <f>MATCH(Q$132,$C$128:$K$128,$B129)</f>
        <v>4</v>
      </c>
      <c r="R134" s="185">
        <f>MATCH(R$132,$C$128:$K$128,$B129)</f>
        <v>5</v>
      </c>
      <c r="S134" s="185">
        <f>MATCH(S$132,$C$128:$K$128,$B129)</f>
        <v>6</v>
      </c>
      <c r="T134" s="185" t="e">
        <f>MATCH(T$132,$C$128:$K$128,$B129)</f>
        <v>#N/A</v>
      </c>
      <c r="U134" s="185" t="e">
        <f>MATCH(U$132,$C$128:$K$128,$B129)</f>
        <v>#N/A</v>
      </c>
      <c r="V134" s="185" t="e">
        <f>MATCH(V$132,$C$128:$K$128,$B129)</f>
        <v>#N/A</v>
      </c>
      <c r="W134" s="185" t="e">
        <f>MATCH(W$132,$C$128:$K$128,$B129)</f>
        <v>#N/A</v>
      </c>
      <c r="X134" s="185" t="e">
        <f>MATCH(X$132,$C$128:$K$128,$B129)</f>
        <v>#N/A</v>
      </c>
      <c r="Y134" s="185" t="e">
        <f>MATCH(Y$132,$C$128:$K$128,$B129)</f>
        <v>#N/A</v>
      </c>
      <c r="Z134" s="185" t="e">
        <f>MATCH(Z$132,$C$128:$K$128,$B129)</f>
        <v>#N/A</v>
      </c>
      <c r="AA134" s="185" t="e">
        <f>MATCH(AA$132,$C$128:$K$128,$B129)</f>
        <v>#N/A</v>
      </c>
      <c r="AB134" s="185">
        <f>MATCH(AB$132,$C$128:$K$128,$B129)</f>
        <v>7</v>
      </c>
      <c r="AC134" s="185" t="e">
        <f>MATCH(AC$132,$C$128:$K$128,$B129)</f>
        <v>#N/A</v>
      </c>
      <c r="AD134" s="185" t="e">
        <f>MATCH(AD$132,$C$128:$K$128,$B129)</f>
        <v>#N/A</v>
      </c>
      <c r="AE134" s="185" t="e">
        <f>MATCH(AE$132,$C$128:$K$128,$B129)</f>
        <v>#N/A</v>
      </c>
      <c r="AF134" s="185" t="e">
        <f>MATCH(AF$132,$C$128:$K$128,$B129)</f>
        <v>#N/A</v>
      </c>
      <c r="AG134" s="185" t="e">
        <f>MATCH(AG$132,$C$128:$K$128,$B129)</f>
        <v>#N/A</v>
      </c>
      <c r="AH134" s="185" t="e">
        <f>MATCH(AH$132,$C$128:$K$128,$B129)</f>
        <v>#N/A</v>
      </c>
      <c r="AI134" s="185" t="e">
        <f>MATCH(AI$132,$C$128:$K$128,$B129)</f>
        <v>#N/A</v>
      </c>
      <c r="AJ134" s="185" t="e">
        <f>MATCH(AJ$132,$C$128:$K$128,$B129)</f>
        <v>#N/A</v>
      </c>
      <c r="AK134" s="185" t="e">
        <f>MATCH(AK$132,$C$128:$K$128,$B129)</f>
        <v>#N/A</v>
      </c>
      <c r="AL134" s="185">
        <f>MATCH(AL$132,$C$128:$K$128,$B129)</f>
        <v>8</v>
      </c>
      <c r="AM134" s="185" t="e">
        <f>MATCH(AM$132,$C$128:$K$128,$B129)</f>
        <v>#N/A</v>
      </c>
      <c r="AN134" s="185">
        <f>MATCH(AN$132,$C$128:$K$128,$B129)</f>
        <v>9</v>
      </c>
      <c r="AO134" s="185" t="e">
        <f>MATCH(AO$132,$C$128:$K$128,$B129)</f>
        <v>#N/A</v>
      </c>
      <c r="AP134" s="185" t="e">
        <f>MATCH(AP$132,$C$128:$K$128,$B129)</f>
        <v>#N/A</v>
      </c>
    </row>
    <row r="135" spans="1:76">
      <c r="A135" s="188" t="s">
        <v>16</v>
      </c>
      <c r="J135" s="40">
        <f>MATCH(J$132,$C$129:$K$129,$B130)</f>
        <v>9</v>
      </c>
      <c r="K135" s="185">
        <f>MATCH(K$132,$C$129:$K$129,$B130)</f>
        <v>8</v>
      </c>
      <c r="L135" s="185">
        <f>MATCH(L$132,$C$129:$K$129,$B130)</f>
        <v>8</v>
      </c>
      <c r="M135" s="185">
        <f>MATCH(M$132,$C$129:$K$129,$B130)</f>
        <v>8</v>
      </c>
      <c r="N135" s="185">
        <f>MATCH(N$132,$C$129:$K$129,$B130)</f>
        <v>7</v>
      </c>
      <c r="O135" s="185">
        <f>MATCH(O$132,$C$129:$K$129,$B130)</f>
        <v>7</v>
      </c>
      <c r="P135" s="185">
        <f>MATCH(P$132,$C$129:$K$129,$B130)</f>
        <v>6</v>
      </c>
      <c r="Q135" s="185">
        <f>MATCH(Q$132,$C$129:$K$129,$B130)</f>
        <v>6</v>
      </c>
      <c r="R135" s="185">
        <f>MATCH(R$132,$C$129:$K$129,$B130)</f>
        <v>5</v>
      </c>
      <c r="S135" s="185">
        <f>MATCH(S$132,$C$129:$K$129,$B130)</f>
        <v>4</v>
      </c>
      <c r="T135" s="185">
        <f>MATCH(T$132,$C$129:$K$129,$B130)</f>
        <v>3</v>
      </c>
      <c r="U135" s="185">
        <f>MATCH(U$132,$C$129:$K$129,$B130)</f>
        <v>3</v>
      </c>
      <c r="V135" s="185">
        <f>MATCH(V$132,$C$129:$K$129,$B130)</f>
        <v>3</v>
      </c>
      <c r="W135" s="185">
        <f>MATCH(W$132,$C$129:$K$129,$B130)</f>
        <v>3</v>
      </c>
      <c r="X135" s="185">
        <f>MATCH(X$132,$C$129:$K$129,$B130)</f>
        <v>3</v>
      </c>
      <c r="Y135" s="185">
        <f>MATCH(Y$132,$C$129:$K$129,$B130)</f>
        <v>3</v>
      </c>
      <c r="Z135" s="185">
        <f>MATCH(Z$132,$C$129:$K$129,$B130)</f>
        <v>3</v>
      </c>
      <c r="AA135" s="185">
        <f>MATCH(AA$132,$C$129:$K$129,$B130)</f>
        <v>3</v>
      </c>
      <c r="AB135" s="185">
        <f>MATCH(AB$132,$C$129:$K$129,$B130)</f>
        <v>3</v>
      </c>
      <c r="AC135" s="185">
        <f>MATCH(AC$132,$C$129:$K$129,$B130)</f>
        <v>2</v>
      </c>
      <c r="AD135" s="185">
        <f>MATCH(AD$132,$C$129:$K$129,$B130)</f>
        <v>2</v>
      </c>
      <c r="AE135" s="185">
        <f>MATCH(AE$132,$C$129:$K$129,$B130)</f>
        <v>2</v>
      </c>
      <c r="AF135" s="185">
        <f>MATCH(AF$132,$C$129:$K$129,$B130)</f>
        <v>2</v>
      </c>
      <c r="AG135" s="185">
        <f>MATCH(AG$132,$C$129:$K$129,$B130)</f>
        <v>2</v>
      </c>
      <c r="AH135" s="185">
        <f>MATCH(AH$132,$C$129:$K$129,$B130)</f>
        <v>2</v>
      </c>
      <c r="AI135" s="185">
        <f>MATCH(AI$132,$C$129:$K$129,$B130)</f>
        <v>2</v>
      </c>
      <c r="AJ135" s="185">
        <f>MATCH(AJ$132,$C$129:$K$129,$B130)</f>
        <v>2</v>
      </c>
      <c r="AK135" s="185">
        <f>MATCH(AK$132,$C$129:$K$129,$B130)</f>
        <v>2</v>
      </c>
      <c r="AL135" s="185">
        <f>MATCH(AL$132,$C$129:$K$129,$B130)</f>
        <v>2</v>
      </c>
      <c r="AM135" s="185">
        <f>MATCH(AM$132,$C$129:$K$129,$B130)</f>
        <v>1</v>
      </c>
      <c r="AN135" s="185">
        <f>MATCH(AN$132,$C$129:$K$129,$B130)</f>
        <v>1</v>
      </c>
      <c r="AO135" s="185" t="e">
        <f>MATCH(AO$132,$C$129:$K$129,$B130)</f>
        <v>#N/A</v>
      </c>
      <c r="AP135" s="185" t="e">
        <f>MATCH(AP$132,$C$129:$K$129,$B130)</f>
        <v>#N/A</v>
      </c>
    </row>
    <row r="136" spans="1:76" s="117" customFormat="1">
      <c r="A136" s="117" t="s">
        <v>16</v>
      </c>
      <c r="J136" s="189">
        <f t="shared" ref="J136:AP136" si="236">IF(ISNA(J133),-1,IF(ISNA(J135),99,IF(ISNA(J134),J133,0)))</f>
        <v>0</v>
      </c>
      <c r="K136" s="189">
        <f t="shared" si="236"/>
        <v>1</v>
      </c>
      <c r="L136" s="189">
        <f t="shared" si="236"/>
        <v>1</v>
      </c>
      <c r="M136" s="189">
        <f t="shared" si="236"/>
        <v>0</v>
      </c>
      <c r="N136" s="189">
        <f t="shared" si="236"/>
        <v>2</v>
      </c>
      <c r="O136" s="189">
        <f t="shared" si="236"/>
        <v>0</v>
      </c>
      <c r="P136" s="189">
        <f t="shared" si="236"/>
        <v>3</v>
      </c>
      <c r="Q136" s="189">
        <f t="shared" si="236"/>
        <v>0</v>
      </c>
      <c r="R136" s="189">
        <f t="shared" si="236"/>
        <v>0</v>
      </c>
      <c r="S136" s="189">
        <f t="shared" si="236"/>
        <v>0</v>
      </c>
      <c r="T136" s="189">
        <f t="shared" si="236"/>
        <v>6</v>
      </c>
      <c r="U136" s="189">
        <f t="shared" si="236"/>
        <v>6</v>
      </c>
      <c r="V136" s="189">
        <f t="shared" si="236"/>
        <v>6</v>
      </c>
      <c r="W136" s="189">
        <f t="shared" si="236"/>
        <v>6</v>
      </c>
      <c r="X136" s="189">
        <f t="shared" si="236"/>
        <v>6</v>
      </c>
      <c r="Y136" s="189">
        <f t="shared" si="236"/>
        <v>6</v>
      </c>
      <c r="Z136" s="189">
        <f t="shared" si="236"/>
        <v>6</v>
      </c>
      <c r="AA136" s="189">
        <f t="shared" si="236"/>
        <v>6</v>
      </c>
      <c r="AB136" s="189">
        <f t="shared" si="236"/>
        <v>0</v>
      </c>
      <c r="AC136" s="189">
        <f t="shared" si="236"/>
        <v>7</v>
      </c>
      <c r="AD136" s="189">
        <f t="shared" si="236"/>
        <v>7</v>
      </c>
      <c r="AE136" s="189">
        <f t="shared" si="236"/>
        <v>7</v>
      </c>
      <c r="AF136" s="189">
        <f t="shared" si="236"/>
        <v>7</v>
      </c>
      <c r="AG136" s="189">
        <f t="shared" si="236"/>
        <v>7</v>
      </c>
      <c r="AH136" s="189">
        <f t="shared" si="236"/>
        <v>7</v>
      </c>
      <c r="AI136" s="189">
        <f t="shared" si="236"/>
        <v>7</v>
      </c>
      <c r="AJ136" s="189">
        <f t="shared" si="236"/>
        <v>7</v>
      </c>
      <c r="AK136" s="189">
        <f t="shared" si="236"/>
        <v>7</v>
      </c>
      <c r="AL136" s="189">
        <f t="shared" si="236"/>
        <v>0</v>
      </c>
      <c r="AM136" s="189">
        <f t="shared" si="236"/>
        <v>8</v>
      </c>
      <c r="AN136" s="189">
        <f t="shared" si="236"/>
        <v>0</v>
      </c>
      <c r="AO136" s="189">
        <f t="shared" si="236"/>
        <v>99</v>
      </c>
      <c r="AP136" s="189">
        <f t="shared" si="236"/>
        <v>99</v>
      </c>
      <c r="AQ136" s="185"/>
      <c r="AR136" s="185"/>
      <c r="AS136" s="185"/>
      <c r="AT136" s="185"/>
      <c r="AU136" s="185"/>
      <c r="AV136" s="185"/>
      <c r="AW136" s="185"/>
      <c r="AX136" s="185"/>
      <c r="AY136" s="185"/>
      <c r="AZ136" s="185"/>
      <c r="BA136" s="185"/>
      <c r="BB136" s="185"/>
      <c r="BC136" s="185"/>
      <c r="BD136" s="185"/>
      <c r="BE136" s="185"/>
      <c r="BF136" s="185"/>
      <c r="BG136" s="185"/>
      <c r="BH136" s="185"/>
      <c r="BI136" s="185"/>
      <c r="BJ136" s="185"/>
      <c r="BK136" s="185"/>
      <c r="BL136" s="185"/>
      <c r="BM136" s="185"/>
      <c r="BN136" s="185"/>
      <c r="BO136" s="185"/>
      <c r="BP136" s="185"/>
      <c r="BQ136" s="185"/>
      <c r="BR136" s="185"/>
      <c r="BS136" s="185"/>
      <c r="BT136" s="185"/>
      <c r="BU136" s="185"/>
      <c r="BV136" s="185"/>
      <c r="BW136" s="185"/>
      <c r="BX136" s="185"/>
    </row>
    <row r="137" spans="1:76">
      <c r="A137" s="40" t="s">
        <v>125</v>
      </c>
      <c r="B137" s="22" t="str">
        <f t="shared" ref="B137:B149" si="237">IF(A137="*","","COM_PROJ")</f>
        <v>COM_PROJ</v>
      </c>
      <c r="C137" s="23" t="str">
        <f t="shared" ref="C137:C149" si="238">IF($A137="*","","-")</f>
        <v>-</v>
      </c>
      <c r="D137" s="57" t="str">
        <f>ITEMS_TRA!C15</f>
        <v>TFLCV</v>
      </c>
      <c r="E137" s="23" t="str">
        <f t="shared" ref="E137:H149" si="239">IF($A137="*","","-")</f>
        <v>-</v>
      </c>
      <c r="F137" s="23" t="str">
        <f t="shared" si="239"/>
        <v>-</v>
      </c>
      <c r="G137" s="23" t="str">
        <f t="shared" si="239"/>
        <v>-</v>
      </c>
      <c r="H137" s="23" t="str">
        <f t="shared" si="239"/>
        <v>-</v>
      </c>
      <c r="I137" s="125">
        <f>IF(A137="*","",0)</f>
        <v>0</v>
      </c>
      <c r="J137" s="186">
        <f t="shared" ref="J137:AP137" si="240">INDEX($M111:$BA111,MATCH(J$132,$M$106:$BA$106,0))</f>
        <v>43.11250375056882</v>
      </c>
      <c r="K137" s="186">
        <f t="shared" si="240"/>
        <v>43.541669167045889</v>
      </c>
      <c r="L137" s="186">
        <f t="shared" si="240"/>
        <v>43.970834583522958</v>
      </c>
      <c r="M137" s="186">
        <f t="shared" si="240"/>
        <v>44.4</v>
      </c>
      <c r="N137" s="186">
        <f t="shared" si="240"/>
        <v>44.871410582810697</v>
      </c>
      <c r="O137" s="186">
        <f t="shared" si="240"/>
        <v>45.342821165621402</v>
      </c>
      <c r="P137" s="186">
        <f t="shared" si="240"/>
        <v>45.89020294658313</v>
      </c>
      <c r="Q137" s="186">
        <f t="shared" si="240"/>
        <v>46.437584727544852</v>
      </c>
      <c r="R137" s="186">
        <f t="shared" si="240"/>
        <v>43.690087939484705</v>
      </c>
      <c r="S137" s="186">
        <f t="shared" si="240"/>
        <v>44.420435532296942</v>
      </c>
      <c r="T137" s="186">
        <f t="shared" si="240"/>
        <v>45.205291125429042</v>
      </c>
      <c r="U137" s="186">
        <f t="shared" si="240"/>
        <v>45.990146718561142</v>
      </c>
      <c r="V137" s="186">
        <f t="shared" si="240"/>
        <v>46.775002311693243</v>
      </c>
      <c r="W137" s="186">
        <f t="shared" si="240"/>
        <v>47.559857904825343</v>
      </c>
      <c r="X137" s="186">
        <f t="shared" si="240"/>
        <v>48.344713497957443</v>
      </c>
      <c r="Y137" s="186">
        <f t="shared" si="240"/>
        <v>49.129569091089543</v>
      </c>
      <c r="Z137" s="186">
        <f t="shared" si="240"/>
        <v>49.914424684221643</v>
      </c>
      <c r="AA137" s="186">
        <f t="shared" si="240"/>
        <v>50.699280277353743</v>
      </c>
      <c r="AB137" s="186">
        <f t="shared" si="240"/>
        <v>51.484135870485822</v>
      </c>
      <c r="AC137" s="186">
        <f t="shared" si="240"/>
        <v>52.778865712051847</v>
      </c>
      <c r="AD137" s="186">
        <f t="shared" si="240"/>
        <v>54.073595553617871</v>
      </c>
      <c r="AE137" s="186">
        <f t="shared" si="240"/>
        <v>55.368325395183895</v>
      </c>
      <c r="AF137" s="186">
        <f t="shared" si="240"/>
        <v>56.663055236749919</v>
      </c>
      <c r="AG137" s="186">
        <f t="shared" si="240"/>
        <v>57.957785078315943</v>
      </c>
      <c r="AH137" s="186">
        <f t="shared" si="240"/>
        <v>59.252514919881968</v>
      </c>
      <c r="AI137" s="186">
        <f t="shared" si="240"/>
        <v>60.547244761447992</v>
      </c>
      <c r="AJ137" s="186">
        <f t="shared" si="240"/>
        <v>61.841974603014016</v>
      </c>
      <c r="AK137" s="186">
        <f t="shared" si="240"/>
        <v>63.13670444458004</v>
      </c>
      <c r="AL137" s="186">
        <f t="shared" si="240"/>
        <v>64.431434286146057</v>
      </c>
      <c r="AM137" s="186">
        <f t="shared" si="240"/>
        <v>73.873852013619597</v>
      </c>
      <c r="AN137" s="186">
        <f t="shared" si="240"/>
        <v>83.316269741093109</v>
      </c>
      <c r="AO137" s="186">
        <f t="shared" si="240"/>
        <v>83.316269741093109</v>
      </c>
      <c r="AP137" s="186">
        <f t="shared" si="240"/>
        <v>83.316269741093109</v>
      </c>
    </row>
    <row r="138" spans="1:76">
      <c r="A138" s="40"/>
      <c r="B138" s="22" t="str">
        <f t="shared" si="237"/>
        <v>COM_PROJ</v>
      </c>
      <c r="C138" s="23" t="str">
        <f t="shared" si="238"/>
        <v>-</v>
      </c>
      <c r="D138" s="57" t="str">
        <f>ITEMS_TRA!C16</f>
        <v>TFHCV1</v>
      </c>
      <c r="E138" s="23" t="str">
        <f t="shared" si="239"/>
        <v>-</v>
      </c>
      <c r="F138" s="23" t="str">
        <f t="shared" si="239"/>
        <v>-</v>
      </c>
      <c r="G138" s="23" t="str">
        <f t="shared" si="239"/>
        <v>-</v>
      </c>
      <c r="H138" s="23" t="str">
        <f t="shared" si="239"/>
        <v>-</v>
      </c>
      <c r="I138" s="125">
        <f>IF(A138="*","",0)</f>
        <v>0</v>
      </c>
      <c r="J138" s="186">
        <f t="shared" ref="J138:AP138" si="241">INDEX($M112:$BA112,MATCH(J$132,$M$106:$BA$106,0))</f>
        <v>3.310563752317667</v>
      </c>
      <c r="K138" s="186">
        <f t="shared" si="241"/>
        <v>3.3405637523176668</v>
      </c>
      <c r="L138" s="186">
        <f t="shared" si="241"/>
        <v>3.3705637523176666</v>
      </c>
      <c r="M138" s="186">
        <f t="shared" si="241"/>
        <v>3.4</v>
      </c>
      <c r="N138" s="186">
        <f t="shared" si="241"/>
        <v>3.4249999999999998</v>
      </c>
      <c r="O138" s="186">
        <f t="shared" si="241"/>
        <v>3.45</v>
      </c>
      <c r="P138" s="186">
        <f t="shared" si="241"/>
        <v>3.5076429930568063</v>
      </c>
      <c r="Q138" s="186">
        <f t="shared" si="241"/>
        <v>3.5652859861136119</v>
      </c>
      <c r="R138" s="186">
        <f t="shared" si="241"/>
        <v>3.3543445288256186</v>
      </c>
      <c r="S138" s="186">
        <f t="shared" si="241"/>
        <v>3.4104176009486125</v>
      </c>
      <c r="T138" s="186">
        <f t="shared" si="241"/>
        <v>3.4706755722392031</v>
      </c>
      <c r="U138" s="186">
        <f t="shared" si="241"/>
        <v>3.5309335435297937</v>
      </c>
      <c r="V138" s="186">
        <f t="shared" si="241"/>
        <v>3.5911915148203843</v>
      </c>
      <c r="W138" s="186">
        <f t="shared" si="241"/>
        <v>3.651449486110975</v>
      </c>
      <c r="X138" s="186">
        <f t="shared" si="241"/>
        <v>3.7117074574015656</v>
      </c>
      <c r="Y138" s="186">
        <f t="shared" si="241"/>
        <v>3.7719654286921562</v>
      </c>
      <c r="Z138" s="186">
        <f t="shared" si="241"/>
        <v>3.8322233999827469</v>
      </c>
      <c r="AA138" s="186">
        <f t="shared" si="241"/>
        <v>3.8924813712733375</v>
      </c>
      <c r="AB138" s="186">
        <f t="shared" si="241"/>
        <v>3.9527393425639263</v>
      </c>
      <c r="AC138" s="186">
        <f t="shared" si="241"/>
        <v>4.052143353065798</v>
      </c>
      <c r="AD138" s="186">
        <f t="shared" si="241"/>
        <v>4.1515473635676701</v>
      </c>
      <c r="AE138" s="186">
        <f t="shared" si="241"/>
        <v>4.2509513740695422</v>
      </c>
      <c r="AF138" s="186">
        <f t="shared" si="241"/>
        <v>4.3503553845714142</v>
      </c>
      <c r="AG138" s="186">
        <f t="shared" si="241"/>
        <v>4.4497593950732863</v>
      </c>
      <c r="AH138" s="186">
        <f t="shared" si="241"/>
        <v>4.5491634055751584</v>
      </c>
      <c r="AI138" s="186">
        <f t="shared" si="241"/>
        <v>4.6485674160770305</v>
      </c>
      <c r="AJ138" s="186">
        <f t="shared" si="241"/>
        <v>4.7479714265789026</v>
      </c>
      <c r="AK138" s="186">
        <f t="shared" si="241"/>
        <v>4.8473754370807747</v>
      </c>
      <c r="AL138" s="186">
        <f t="shared" si="241"/>
        <v>4.9467794475826459</v>
      </c>
      <c r="AM138" s="186">
        <f t="shared" si="241"/>
        <v>5.6717292871642782</v>
      </c>
      <c r="AN138" s="186">
        <f t="shared" si="241"/>
        <v>6.3966791267459104</v>
      </c>
      <c r="AO138" s="186">
        <f t="shared" si="241"/>
        <v>6.3966791267459104</v>
      </c>
      <c r="AP138" s="186">
        <f t="shared" si="241"/>
        <v>6.3966791267459104</v>
      </c>
    </row>
    <row r="139" spans="1:76">
      <c r="A139" s="40"/>
      <c r="B139" s="22" t="str">
        <f t="shared" si="237"/>
        <v>COM_PROJ</v>
      </c>
      <c r="C139" s="23" t="str">
        <f t="shared" si="238"/>
        <v>-</v>
      </c>
      <c r="D139" s="57" t="str">
        <f>ITEMS_TRA!C17</f>
        <v>TFHCV2</v>
      </c>
      <c r="E139" s="23" t="str">
        <f t="shared" si="239"/>
        <v>-</v>
      </c>
      <c r="F139" s="23" t="str">
        <f t="shared" si="239"/>
        <v>-</v>
      </c>
      <c r="G139" s="23" t="str">
        <f t="shared" si="239"/>
        <v>-</v>
      </c>
      <c r="H139" s="23" t="str">
        <f t="shared" si="239"/>
        <v>-</v>
      </c>
      <c r="I139" s="125">
        <f>IF(A139="*","",0)</f>
        <v>0</v>
      </c>
      <c r="J139" s="186">
        <f t="shared" ref="J139:AP139" si="242">INDEX($M113:$BA113,MATCH(J$132,$M$106:$BA$106,0))</f>
        <v>0.6547839540708813</v>
      </c>
      <c r="K139" s="186">
        <f t="shared" si="242"/>
        <v>0.67123078144835724</v>
      </c>
      <c r="L139" s="186">
        <f t="shared" si="242"/>
        <v>0.68767760882583318</v>
      </c>
      <c r="M139" s="186">
        <f t="shared" si="242"/>
        <v>0.704124436203308</v>
      </c>
      <c r="N139" s="186">
        <f t="shared" si="242"/>
        <v>0.72006693722491655</v>
      </c>
      <c r="O139" s="186">
        <f t="shared" si="242"/>
        <v>0.73600943824652509</v>
      </c>
      <c r="P139" s="186">
        <f t="shared" si="242"/>
        <v>0.72064702356147514</v>
      </c>
      <c r="Q139" s="186">
        <f t="shared" si="242"/>
        <v>0.70528460887642519</v>
      </c>
      <c r="R139" s="186">
        <f t="shared" si="242"/>
        <v>0.66355618546841733</v>
      </c>
      <c r="S139" s="186">
        <f t="shared" si="242"/>
        <v>0.6746485564296244</v>
      </c>
      <c r="T139" s="186">
        <f t="shared" si="242"/>
        <v>0.68656878383323239</v>
      </c>
      <c r="U139" s="186">
        <f t="shared" si="242"/>
        <v>0.69848901123684037</v>
      </c>
      <c r="V139" s="186">
        <f t="shared" si="242"/>
        <v>0.71040923864044836</v>
      </c>
      <c r="W139" s="186">
        <f t="shared" si="242"/>
        <v>0.72232946604405635</v>
      </c>
      <c r="X139" s="186">
        <f t="shared" si="242"/>
        <v>0.73424969344766433</v>
      </c>
      <c r="Y139" s="186">
        <f t="shared" si="242"/>
        <v>0.74616992085127232</v>
      </c>
      <c r="Z139" s="186">
        <f t="shared" si="242"/>
        <v>0.7580901482548803</v>
      </c>
      <c r="AA139" s="186">
        <f t="shared" si="242"/>
        <v>0.77001037565848829</v>
      </c>
      <c r="AB139" s="186">
        <f t="shared" si="242"/>
        <v>0.78193060306209605</v>
      </c>
      <c r="AC139" s="186">
        <f t="shared" si="242"/>
        <v>0.8015946970339749</v>
      </c>
      <c r="AD139" s="186">
        <f t="shared" si="242"/>
        <v>0.82125879100585375</v>
      </c>
      <c r="AE139" s="186">
        <f t="shared" si="242"/>
        <v>0.8409228849777326</v>
      </c>
      <c r="AF139" s="186">
        <f t="shared" si="242"/>
        <v>0.86058697894961145</v>
      </c>
      <c r="AG139" s="186">
        <f t="shared" si="242"/>
        <v>0.8802510729214903</v>
      </c>
      <c r="AH139" s="186">
        <f t="shared" si="242"/>
        <v>0.89991516689336915</v>
      </c>
      <c r="AI139" s="186">
        <f t="shared" si="242"/>
        <v>0.91957926086524799</v>
      </c>
      <c r="AJ139" s="186">
        <f t="shared" si="242"/>
        <v>0.93924335483712684</v>
      </c>
      <c r="AK139" s="186">
        <f t="shared" si="242"/>
        <v>0.95890744880900569</v>
      </c>
      <c r="AL139" s="186">
        <f t="shared" si="242"/>
        <v>0.97857154278088487</v>
      </c>
      <c r="AM139" s="186">
        <f t="shared" si="242"/>
        <v>1.1219810661840002</v>
      </c>
      <c r="AN139" s="186">
        <f t="shared" si="242"/>
        <v>1.2653905895871154</v>
      </c>
      <c r="AO139" s="186">
        <f t="shared" si="242"/>
        <v>1.2653905895871154</v>
      </c>
      <c r="AP139" s="186">
        <f t="shared" si="242"/>
        <v>1.2653905895871154</v>
      </c>
    </row>
    <row r="140" spans="1:76">
      <c r="A140" s="40"/>
      <c r="B140" s="22" t="str">
        <f t="shared" si="237"/>
        <v>COM_PROJ</v>
      </c>
      <c r="C140" s="23" t="str">
        <f t="shared" si="238"/>
        <v>-</v>
      </c>
      <c r="D140" s="57" t="str">
        <f>ITEMS_TRA!C18</f>
        <v>TFHCV3</v>
      </c>
      <c r="E140" s="23" t="str">
        <f t="shared" si="239"/>
        <v>-</v>
      </c>
      <c r="F140" s="23" t="str">
        <f t="shared" si="239"/>
        <v>-</v>
      </c>
      <c r="G140" s="23" t="str">
        <f t="shared" si="239"/>
        <v>-</v>
      </c>
      <c r="H140" s="23" t="str">
        <f t="shared" si="239"/>
        <v>-</v>
      </c>
      <c r="I140" s="125">
        <f>IF(A140="*","",0)</f>
        <v>0</v>
      </c>
      <c r="J140" s="186">
        <f t="shared" ref="J140:AP140" si="243">INDEX($M114:$BA114,MATCH(J$132,$M$106:$BA$106,0))</f>
        <v>2.7114063478211388</v>
      </c>
      <c r="K140" s="186">
        <f t="shared" si="243"/>
        <v>2.7742708985474289</v>
      </c>
      <c r="L140" s="186">
        <f t="shared" si="243"/>
        <v>2.8371354492737191</v>
      </c>
      <c r="M140" s="186">
        <f t="shared" si="243"/>
        <v>2.9</v>
      </c>
      <c r="N140" s="186">
        <f t="shared" si="243"/>
        <v>2.9652984627095749</v>
      </c>
      <c r="O140" s="186">
        <f t="shared" si="243"/>
        <v>3.0305969254191498</v>
      </c>
      <c r="P140" s="186">
        <f t="shared" si="243"/>
        <v>2.9755611597709288</v>
      </c>
      <c r="Q140" s="186">
        <f t="shared" si="243"/>
        <v>2.9205253941227078</v>
      </c>
      <c r="R140" s="186">
        <f t="shared" si="243"/>
        <v>2.7477314345126453</v>
      </c>
      <c r="S140" s="186">
        <f t="shared" si="243"/>
        <v>2.7936640277743123</v>
      </c>
      <c r="T140" s="186">
        <f t="shared" si="243"/>
        <v>2.8430247062831131</v>
      </c>
      <c r="U140" s="186">
        <f t="shared" si="243"/>
        <v>2.8923853847919139</v>
      </c>
      <c r="V140" s="186">
        <f t="shared" si="243"/>
        <v>2.9417460633007146</v>
      </c>
      <c r="W140" s="186">
        <f t="shared" si="243"/>
        <v>2.9911067418095154</v>
      </c>
      <c r="X140" s="186">
        <f t="shared" si="243"/>
        <v>3.0404674203183162</v>
      </c>
      <c r="Y140" s="186">
        <f t="shared" si="243"/>
        <v>3.089828098827117</v>
      </c>
      <c r="Z140" s="186">
        <f t="shared" si="243"/>
        <v>3.1391887773359177</v>
      </c>
      <c r="AA140" s="186">
        <f t="shared" si="243"/>
        <v>3.1885494558447185</v>
      </c>
      <c r="AB140" s="186">
        <f t="shared" si="243"/>
        <v>3.2379101343535184</v>
      </c>
      <c r="AC140" s="186">
        <f t="shared" si="243"/>
        <v>3.3193375256144413</v>
      </c>
      <c r="AD140" s="186">
        <f t="shared" si="243"/>
        <v>3.4007649168753642</v>
      </c>
      <c r="AE140" s="186">
        <f t="shared" si="243"/>
        <v>3.4821923081362871</v>
      </c>
      <c r="AF140" s="186">
        <f t="shared" si="243"/>
        <v>3.56361969939721</v>
      </c>
      <c r="AG140" s="186">
        <f t="shared" si="243"/>
        <v>3.6450470906581329</v>
      </c>
      <c r="AH140" s="186">
        <f t="shared" si="243"/>
        <v>3.7264744819190558</v>
      </c>
      <c r="AI140" s="186">
        <f t="shared" si="243"/>
        <v>3.8079018731799787</v>
      </c>
      <c r="AJ140" s="186">
        <f t="shared" si="243"/>
        <v>3.8893292644409017</v>
      </c>
      <c r="AK140" s="186">
        <f t="shared" si="243"/>
        <v>3.9707566557018246</v>
      </c>
      <c r="AL140" s="186">
        <f t="shared" si="243"/>
        <v>4.0521840469627461</v>
      </c>
      <c r="AM140" s="186">
        <f t="shared" si="243"/>
        <v>4.6460310550876853</v>
      </c>
      <c r="AN140" s="186">
        <f t="shared" si="243"/>
        <v>5.2398780632126236</v>
      </c>
      <c r="AO140" s="186">
        <f t="shared" si="243"/>
        <v>5.2398780632126236</v>
      </c>
      <c r="AP140" s="186">
        <f t="shared" si="243"/>
        <v>5.2398780632126236</v>
      </c>
    </row>
    <row r="141" spans="1:76">
      <c r="A141" s="40"/>
      <c r="B141" s="22" t="str">
        <f t="shared" si="237"/>
        <v>COM_PROJ</v>
      </c>
      <c r="C141" s="23" t="str">
        <f t="shared" si="238"/>
        <v>-</v>
      </c>
      <c r="D141" s="57" t="str">
        <f>ITEMS_TRA!C19</f>
        <v>TFHCV4</v>
      </c>
      <c r="E141" s="23" t="str">
        <f t="shared" si="239"/>
        <v>-</v>
      </c>
      <c r="F141" s="23" t="str">
        <f t="shared" si="239"/>
        <v>-</v>
      </c>
      <c r="G141" s="23" t="str">
        <f t="shared" si="239"/>
        <v>-</v>
      </c>
      <c r="H141" s="23" t="str">
        <f t="shared" si="239"/>
        <v>-</v>
      </c>
      <c r="I141" s="125">
        <f>IF(A141="*","",0)</f>
        <v>0</v>
      </c>
      <c r="J141" s="186">
        <f t="shared" ref="J141:AP141" si="244">INDEX($M115:$BA115,MATCH(J$132,$M$106:$BA$106,0))</f>
        <v>0.57023972229676956</v>
      </c>
      <c r="K141" s="186">
        <f t="shared" si="244"/>
        <v>0.55900373411704862</v>
      </c>
      <c r="L141" s="186">
        <f t="shared" si="244"/>
        <v>0.54776774593732769</v>
      </c>
      <c r="M141" s="24">
        <f t="shared" si="244"/>
        <v>0.53653175775760331</v>
      </c>
      <c r="N141" s="186">
        <f t="shared" si="244"/>
        <v>0.54016937887880168</v>
      </c>
      <c r="O141" s="186">
        <f t="shared" si="244"/>
        <v>0.54380700000000004</v>
      </c>
      <c r="P141" s="186">
        <f t="shared" si="244"/>
        <v>0.57901342305588788</v>
      </c>
      <c r="Q141" s="186">
        <f t="shared" si="244"/>
        <v>0.6142198461117756</v>
      </c>
      <c r="R141" s="186">
        <f t="shared" si="244"/>
        <v>0.57787930290187206</v>
      </c>
      <c r="S141" s="186">
        <f t="shared" si="244"/>
        <v>0.58753945186735324</v>
      </c>
      <c r="T141" s="186">
        <f t="shared" si="244"/>
        <v>0.59792056631294621</v>
      </c>
      <c r="U141" s="186">
        <f t="shared" si="244"/>
        <v>0.60830168075853919</v>
      </c>
      <c r="V141" s="186">
        <f t="shared" si="244"/>
        <v>0.61868279520413216</v>
      </c>
      <c r="W141" s="186">
        <f t="shared" si="244"/>
        <v>0.62906390964972514</v>
      </c>
      <c r="X141" s="186">
        <f t="shared" si="244"/>
        <v>0.63944502409531812</v>
      </c>
      <c r="Y141" s="186">
        <f t="shared" si="244"/>
        <v>0.64982613854091109</v>
      </c>
      <c r="Z141" s="186">
        <f t="shared" si="244"/>
        <v>0.66020725298650407</v>
      </c>
      <c r="AA141" s="186">
        <f t="shared" si="244"/>
        <v>0.67058836743209704</v>
      </c>
      <c r="AB141" s="186">
        <f t="shared" si="244"/>
        <v>0.68096948187769002</v>
      </c>
      <c r="AC141" s="186">
        <f t="shared" si="244"/>
        <v>0.69809459225345205</v>
      </c>
      <c r="AD141" s="186">
        <f t="shared" si="244"/>
        <v>0.71521970262921408</v>
      </c>
      <c r="AE141" s="186">
        <f t="shared" si="244"/>
        <v>0.73234481300497611</v>
      </c>
      <c r="AF141" s="186">
        <f t="shared" si="244"/>
        <v>0.74946992338073815</v>
      </c>
      <c r="AG141" s="186">
        <f t="shared" si="244"/>
        <v>0.76659503375650018</v>
      </c>
      <c r="AH141" s="186">
        <f t="shared" si="244"/>
        <v>0.78372014413226221</v>
      </c>
      <c r="AI141" s="186">
        <f t="shared" si="244"/>
        <v>0.80084525450802424</v>
      </c>
      <c r="AJ141" s="186">
        <f t="shared" si="244"/>
        <v>0.81797036488378627</v>
      </c>
      <c r="AK141" s="186">
        <f t="shared" si="244"/>
        <v>0.8350954752595483</v>
      </c>
      <c r="AL141" s="186">
        <f t="shared" si="244"/>
        <v>0.85222058563531045</v>
      </c>
      <c r="AM141" s="186">
        <f t="shared" si="244"/>
        <v>0.97711339385347207</v>
      </c>
      <c r="AN141" s="186">
        <f t="shared" si="244"/>
        <v>1.1020062020716337</v>
      </c>
      <c r="AO141" s="186">
        <f t="shared" si="244"/>
        <v>1.1020062020716337</v>
      </c>
      <c r="AP141" s="186">
        <f t="shared" si="244"/>
        <v>1.1020062020716337</v>
      </c>
    </row>
    <row r="142" spans="1:76">
      <c r="A142" s="40"/>
      <c r="B142" s="22" t="str">
        <f t="shared" si="237"/>
        <v>COM_PROJ</v>
      </c>
      <c r="C142" s="23" t="str">
        <f t="shared" si="238"/>
        <v>-</v>
      </c>
      <c r="D142" s="57" t="str">
        <f>ITEMS_TRA!C20</f>
        <v>TFHCV5</v>
      </c>
      <c r="E142" s="23" t="str">
        <f t="shared" si="239"/>
        <v>-</v>
      </c>
      <c r="F142" s="23" t="str">
        <f t="shared" si="239"/>
        <v>-</v>
      </c>
      <c r="G142" s="23" t="str">
        <f t="shared" si="239"/>
        <v>-</v>
      </c>
      <c r="H142" s="23" t="str">
        <f t="shared" si="239"/>
        <v>-</v>
      </c>
      <c r="I142" s="125">
        <f>IF(A142="*","",0)</f>
        <v>0</v>
      </c>
      <c r="J142" s="186">
        <f t="shared" ref="J142:AP142" si="245">INDEX($M116:$BA116,MATCH(J$132,$M$106:$BA$106,0))</f>
        <v>0.27326501935541331</v>
      </c>
      <c r="K142" s="186">
        <f t="shared" si="245"/>
        <v>0.27740453823694228</v>
      </c>
      <c r="L142" s="186">
        <f t="shared" si="245"/>
        <v>0.28154405711847125</v>
      </c>
      <c r="M142" s="186">
        <f t="shared" si="245"/>
        <v>0.28568357599999999</v>
      </c>
      <c r="N142" s="186">
        <f t="shared" si="245"/>
        <v>0.2876204765</v>
      </c>
      <c r="O142" s="186">
        <f t="shared" si="245"/>
        <v>0.289557377</v>
      </c>
      <c r="P142" s="186">
        <f t="shared" si="245"/>
        <v>0.29194907279047111</v>
      </c>
      <c r="Q142" s="186">
        <f t="shared" si="245"/>
        <v>0.29434076858094221</v>
      </c>
      <c r="R142" s="186">
        <f t="shared" si="245"/>
        <v>0.27692598869917107</v>
      </c>
      <c r="S142" s="186">
        <f t="shared" si="245"/>
        <v>0.28155523617319139</v>
      </c>
      <c r="T142" s="186">
        <f t="shared" si="245"/>
        <v>0.28652997807380803</v>
      </c>
      <c r="U142" s="186">
        <f t="shared" si="245"/>
        <v>0.29150471997442468</v>
      </c>
      <c r="V142" s="186">
        <f t="shared" si="245"/>
        <v>0.29647946187504132</v>
      </c>
      <c r="W142" s="186">
        <f t="shared" si="245"/>
        <v>0.30145420377565796</v>
      </c>
      <c r="X142" s="186">
        <f t="shared" si="245"/>
        <v>0.3064289456762746</v>
      </c>
      <c r="Y142" s="186">
        <f t="shared" si="245"/>
        <v>0.31140368757689124</v>
      </c>
      <c r="Z142" s="186">
        <f t="shared" si="245"/>
        <v>0.31637842947750788</v>
      </c>
      <c r="AA142" s="186">
        <f t="shared" si="245"/>
        <v>0.32135317137812452</v>
      </c>
      <c r="AB142" s="186">
        <f t="shared" si="245"/>
        <v>0.32632791327874128</v>
      </c>
      <c r="AC142" s="186">
        <f t="shared" si="245"/>
        <v>0.33453445069680765</v>
      </c>
      <c r="AD142" s="186">
        <f t="shared" si="245"/>
        <v>0.34274098811487402</v>
      </c>
      <c r="AE142" s="186">
        <f t="shared" si="245"/>
        <v>0.3509475255329404</v>
      </c>
      <c r="AF142" s="186">
        <f t="shared" si="245"/>
        <v>0.35915406295100677</v>
      </c>
      <c r="AG142" s="186">
        <f t="shared" si="245"/>
        <v>0.36736060036907314</v>
      </c>
      <c r="AH142" s="186">
        <f t="shared" si="245"/>
        <v>0.37556713778713952</v>
      </c>
      <c r="AI142" s="186">
        <f t="shared" si="245"/>
        <v>0.38377367520520589</v>
      </c>
      <c r="AJ142" s="186">
        <f t="shared" si="245"/>
        <v>0.39198021262327226</v>
      </c>
      <c r="AK142" s="186">
        <f t="shared" si="245"/>
        <v>0.40018675004133863</v>
      </c>
      <c r="AL142" s="186">
        <f t="shared" si="245"/>
        <v>0.40839328745940517</v>
      </c>
      <c r="AM142" s="186">
        <f t="shared" si="245"/>
        <v>0.46824326689897561</v>
      </c>
      <c r="AN142" s="186">
        <f t="shared" si="245"/>
        <v>0.52809324633854615</v>
      </c>
      <c r="AO142" s="186">
        <f t="shared" si="245"/>
        <v>0.52809324633854615</v>
      </c>
      <c r="AP142" s="186">
        <f t="shared" si="245"/>
        <v>0.52809324633854615</v>
      </c>
    </row>
    <row r="143" spans="1:76">
      <c r="A143" s="40"/>
      <c r="B143" s="22" t="str">
        <f t="shared" si="237"/>
        <v>COM_PROJ</v>
      </c>
      <c r="C143" s="23" t="str">
        <f t="shared" si="238"/>
        <v>-</v>
      </c>
      <c r="D143" s="57" t="str">
        <f>ITEMS_TRA!C21</f>
        <v>TFHCV6</v>
      </c>
      <c r="E143" s="23" t="str">
        <f t="shared" si="239"/>
        <v>-</v>
      </c>
      <c r="F143" s="23" t="str">
        <f t="shared" si="239"/>
        <v>-</v>
      </c>
      <c r="G143" s="23" t="str">
        <f t="shared" si="239"/>
        <v>-</v>
      </c>
      <c r="H143" s="23" t="str">
        <f t="shared" si="239"/>
        <v>-</v>
      </c>
      <c r="I143" s="125">
        <f>IF(A143="*","",0)</f>
        <v>0</v>
      </c>
      <c r="J143" s="186">
        <f t="shared" ref="J143:AP143" si="246">INDEX($M117:$BA117,MATCH(J$132,$M$106:$BA$106,0))</f>
        <v>5.0361375113209643</v>
      </c>
      <c r="K143" s="186">
        <f t="shared" si="246"/>
        <v>5.3607583408806443</v>
      </c>
      <c r="L143" s="186">
        <f t="shared" si="246"/>
        <v>5.6853791704403243</v>
      </c>
      <c r="M143" s="186">
        <f t="shared" si="246"/>
        <v>6.01</v>
      </c>
      <c r="N143" s="186">
        <f t="shared" si="246"/>
        <v>6.3253919226144593</v>
      </c>
      <c r="O143" s="186">
        <f t="shared" si="246"/>
        <v>6.6407838452289196</v>
      </c>
      <c r="P143" s="186">
        <f t="shared" si="246"/>
        <v>6.0326684321693991</v>
      </c>
      <c r="Q143" s="186">
        <f t="shared" si="246"/>
        <v>5.4245530191098785</v>
      </c>
      <c r="R143" s="186">
        <f t="shared" si="246"/>
        <v>5.1036073436594931</v>
      </c>
      <c r="S143" s="186">
        <f t="shared" si="246"/>
        <v>5.188922057222519</v>
      </c>
      <c r="T143" s="186">
        <f t="shared" si="246"/>
        <v>5.2806040601145563</v>
      </c>
      <c r="U143" s="186">
        <f t="shared" si="246"/>
        <v>5.3722860630065936</v>
      </c>
      <c r="V143" s="186">
        <f t="shared" si="246"/>
        <v>5.4639680658986309</v>
      </c>
      <c r="W143" s="186">
        <f t="shared" si="246"/>
        <v>5.5556500687906683</v>
      </c>
      <c r="X143" s="186">
        <f t="shared" si="246"/>
        <v>5.6473320716827056</v>
      </c>
      <c r="Y143" s="186">
        <f t="shared" si="246"/>
        <v>5.7390140745747429</v>
      </c>
      <c r="Z143" s="186">
        <f t="shared" si="246"/>
        <v>5.8306960774667802</v>
      </c>
      <c r="AA143" s="186">
        <f t="shared" si="246"/>
        <v>5.9223780803588175</v>
      </c>
      <c r="AB143" s="186">
        <f t="shared" si="246"/>
        <v>6.0140600832508548</v>
      </c>
      <c r="AC143" s="186">
        <f t="shared" si="246"/>
        <v>6.1653024597053019</v>
      </c>
      <c r="AD143" s="186">
        <f t="shared" si="246"/>
        <v>6.3165448361597489</v>
      </c>
      <c r="AE143" s="186">
        <f t="shared" si="246"/>
        <v>6.467787212614196</v>
      </c>
      <c r="AF143" s="186">
        <f t="shared" si="246"/>
        <v>6.619029589068643</v>
      </c>
      <c r="AG143" s="186">
        <f t="shared" si="246"/>
        <v>6.7702719655230901</v>
      </c>
      <c r="AH143" s="186">
        <f t="shared" si="246"/>
        <v>6.9215143419775371</v>
      </c>
      <c r="AI143" s="186">
        <f t="shared" si="246"/>
        <v>7.0727567184319842</v>
      </c>
      <c r="AJ143" s="186">
        <f t="shared" si="246"/>
        <v>7.2239990948864312</v>
      </c>
      <c r="AK143" s="186">
        <f t="shared" si="246"/>
        <v>7.3752414713408783</v>
      </c>
      <c r="AL143" s="186">
        <f t="shared" si="246"/>
        <v>7.5264838477953289</v>
      </c>
      <c r="AM143" s="186">
        <f t="shared" si="246"/>
        <v>8.6294890082011193</v>
      </c>
      <c r="AN143" s="186">
        <f t="shared" si="246"/>
        <v>9.7324941686069124</v>
      </c>
      <c r="AO143" s="186">
        <f t="shared" si="246"/>
        <v>9.7324941686069124</v>
      </c>
      <c r="AP143" s="186">
        <f t="shared" si="246"/>
        <v>9.7324941686069124</v>
      </c>
    </row>
    <row r="144" spans="1:76">
      <c r="A144" s="40"/>
      <c r="B144" s="22" t="str">
        <f t="shared" si="237"/>
        <v>COM_PROJ</v>
      </c>
      <c r="C144" s="23" t="str">
        <f t="shared" si="238"/>
        <v>-</v>
      </c>
      <c r="D144" s="57" t="str">
        <f>ITEMS_TRA!C22</f>
        <v>TFHCV7</v>
      </c>
      <c r="E144" s="23" t="str">
        <f t="shared" si="239"/>
        <v>-</v>
      </c>
      <c r="F144" s="23" t="str">
        <f t="shared" si="239"/>
        <v>-</v>
      </c>
      <c r="G144" s="23" t="str">
        <f t="shared" si="239"/>
        <v>-</v>
      </c>
      <c r="H144" s="23" t="str">
        <f t="shared" si="239"/>
        <v>-</v>
      </c>
      <c r="I144" s="125">
        <f>IF(A144="*","",0)</f>
        <v>0</v>
      </c>
      <c r="J144" s="186">
        <f t="shared" ref="J144:AP144" si="247">INDEX($M118:$BA118,MATCH(J$132,$M$106:$BA$106,0))</f>
        <v>1.5653068685251963</v>
      </c>
      <c r="K144" s="186">
        <f t="shared" si="247"/>
        <v>1.6102045790167996</v>
      </c>
      <c r="L144" s="186">
        <f t="shared" si="247"/>
        <v>1.6551022895084029</v>
      </c>
      <c r="M144" s="186">
        <f t="shared" si="247"/>
        <v>1.7</v>
      </c>
      <c r="N144" s="186">
        <f t="shared" si="247"/>
        <v>1.74</v>
      </c>
      <c r="O144" s="186">
        <f t="shared" si="247"/>
        <v>1.78</v>
      </c>
      <c r="P144" s="186">
        <f t="shared" si="247"/>
        <v>1.7330161091118188</v>
      </c>
      <c r="Q144" s="186">
        <f t="shared" si="247"/>
        <v>1.6860322182236378</v>
      </c>
      <c r="R144" s="186">
        <f t="shared" si="247"/>
        <v>1.5862775016225472</v>
      </c>
      <c r="S144" s="186">
        <f t="shared" si="247"/>
        <v>1.6127945907263026</v>
      </c>
      <c r="T144" s="186">
        <f t="shared" si="247"/>
        <v>1.6412907285947482</v>
      </c>
      <c r="U144" s="186">
        <f t="shared" si="247"/>
        <v>1.6697868664631939</v>
      </c>
      <c r="V144" s="186">
        <f t="shared" si="247"/>
        <v>1.6982830043316395</v>
      </c>
      <c r="W144" s="186">
        <f t="shared" si="247"/>
        <v>1.7267791422000851</v>
      </c>
      <c r="X144" s="186">
        <f t="shared" si="247"/>
        <v>1.7552752800685307</v>
      </c>
      <c r="Y144" s="186">
        <f t="shared" si="247"/>
        <v>1.7837714179369764</v>
      </c>
      <c r="Z144" s="186">
        <f t="shared" si="247"/>
        <v>1.812267555805422</v>
      </c>
      <c r="AA144" s="186">
        <f t="shared" si="247"/>
        <v>1.8407636936738676</v>
      </c>
      <c r="AB144" s="186">
        <f t="shared" si="247"/>
        <v>1.8692598315423128</v>
      </c>
      <c r="AC144" s="186">
        <f t="shared" si="247"/>
        <v>1.9162682244116573</v>
      </c>
      <c r="AD144" s="186">
        <f t="shared" si="247"/>
        <v>1.9632766172810019</v>
      </c>
      <c r="AE144" s="186">
        <f t="shared" si="247"/>
        <v>2.0102850101503464</v>
      </c>
      <c r="AF144" s="186">
        <f t="shared" si="247"/>
        <v>2.057293403019691</v>
      </c>
      <c r="AG144" s="186">
        <f t="shared" si="247"/>
        <v>2.1043017958890355</v>
      </c>
      <c r="AH144" s="186">
        <f t="shared" si="247"/>
        <v>2.1513101887583801</v>
      </c>
      <c r="AI144" s="186">
        <f t="shared" si="247"/>
        <v>2.1983185816277246</v>
      </c>
      <c r="AJ144" s="186">
        <f t="shared" si="247"/>
        <v>2.2453269744970692</v>
      </c>
      <c r="AK144" s="186">
        <f t="shared" si="247"/>
        <v>2.2923353673664137</v>
      </c>
      <c r="AL144" s="186">
        <f t="shared" si="247"/>
        <v>2.3393437602357583</v>
      </c>
      <c r="AM144" s="186">
        <f t="shared" si="247"/>
        <v>2.6821742627231795</v>
      </c>
      <c r="AN144" s="186">
        <f t="shared" si="247"/>
        <v>3.0250047652106007</v>
      </c>
      <c r="AO144" s="186">
        <f t="shared" si="247"/>
        <v>3.0250047652106007</v>
      </c>
      <c r="AP144" s="186">
        <f t="shared" si="247"/>
        <v>3.0250047652106007</v>
      </c>
    </row>
    <row r="145" spans="1:51">
      <c r="A145" s="40" t="s">
        <v>125</v>
      </c>
      <c r="B145" s="22" t="str">
        <f t="shared" si="237"/>
        <v>COM_PROJ</v>
      </c>
      <c r="C145" s="23" t="str">
        <f t="shared" si="238"/>
        <v>-</v>
      </c>
      <c r="D145" s="57" t="str">
        <f>ITEMS_TRA!C23</f>
        <v>TFHCV8</v>
      </c>
      <c r="E145" s="23" t="str">
        <f t="shared" si="239"/>
        <v>-</v>
      </c>
      <c r="F145" s="23" t="str">
        <f t="shared" si="239"/>
        <v>-</v>
      </c>
      <c r="G145" s="23" t="str">
        <f t="shared" si="239"/>
        <v>-</v>
      </c>
      <c r="H145" s="23" t="str">
        <f t="shared" si="239"/>
        <v>-</v>
      </c>
      <c r="I145" s="125">
        <f>IF(A145="*","",0)</f>
        <v>0</v>
      </c>
      <c r="J145" s="186">
        <f t="shared" ref="J145:AP145" si="248">INDEX($M119:$BA119,MATCH(J$132,$M$106:$BA$106,0))</f>
        <v>5.8486156921973939E-2</v>
      </c>
      <c r="K145" s="186">
        <f t="shared" si="248"/>
        <v>6.5622085483256903E-2</v>
      </c>
      <c r="L145" s="186">
        <f t="shared" si="248"/>
        <v>7.2758014044539868E-2</v>
      </c>
      <c r="M145" s="186">
        <f t="shared" si="248"/>
        <v>7.9893942605822804E-2</v>
      </c>
      <c r="N145" s="186">
        <f t="shared" si="248"/>
        <v>9.0970063028559395E-2</v>
      </c>
      <c r="O145" s="186">
        <f t="shared" si="248"/>
        <v>0.102046183451296</v>
      </c>
      <c r="P145" s="186">
        <f t="shared" si="248"/>
        <v>8.2521562368481099E-2</v>
      </c>
      <c r="Q145" s="186">
        <f t="shared" si="248"/>
        <v>6.29969412856662E-2</v>
      </c>
      <c r="R145" s="186">
        <f t="shared" si="248"/>
        <v>5.9269704073492357E-2</v>
      </c>
      <c r="S145" s="186">
        <f t="shared" si="248"/>
        <v>6.0260489117384367E-2</v>
      </c>
      <c r="T145" s="186">
        <f t="shared" si="248"/>
        <v>6.1325219378623425E-2</v>
      </c>
      <c r="U145" s="186">
        <f t="shared" si="248"/>
        <v>6.2389949639862483E-2</v>
      </c>
      <c r="V145" s="186">
        <f t="shared" si="248"/>
        <v>6.3454679901101541E-2</v>
      </c>
      <c r="W145" s="186">
        <f t="shared" si="248"/>
        <v>6.4519410162340599E-2</v>
      </c>
      <c r="X145" s="186">
        <f t="shared" si="248"/>
        <v>6.5584140423579657E-2</v>
      </c>
      <c r="Y145" s="186">
        <f t="shared" si="248"/>
        <v>6.6648870684818715E-2</v>
      </c>
      <c r="Z145" s="186">
        <f t="shared" si="248"/>
        <v>6.7713600946057773E-2</v>
      </c>
      <c r="AA145" s="186">
        <f t="shared" si="248"/>
        <v>6.8778331207296831E-2</v>
      </c>
      <c r="AB145" s="186">
        <f t="shared" si="248"/>
        <v>6.9843061468535861E-2</v>
      </c>
      <c r="AC145" s="186">
        <f t="shared" si="248"/>
        <v>7.1599483993274843E-2</v>
      </c>
      <c r="AD145" s="186">
        <f t="shared" si="248"/>
        <v>7.3355906518013825E-2</v>
      </c>
      <c r="AE145" s="186">
        <f t="shared" si="248"/>
        <v>7.5112329042752807E-2</v>
      </c>
      <c r="AF145" s="186">
        <f t="shared" si="248"/>
        <v>7.6868751567491789E-2</v>
      </c>
      <c r="AG145" s="186">
        <f t="shared" si="248"/>
        <v>7.8625174092230771E-2</v>
      </c>
      <c r="AH145" s="186">
        <f t="shared" si="248"/>
        <v>8.0381596616969753E-2</v>
      </c>
      <c r="AI145" s="186">
        <f t="shared" si="248"/>
        <v>8.2138019141708735E-2</v>
      </c>
      <c r="AJ145" s="186">
        <f t="shared" si="248"/>
        <v>8.3894441666447717E-2</v>
      </c>
      <c r="AK145" s="186">
        <f t="shared" si="248"/>
        <v>8.5650864191186699E-2</v>
      </c>
      <c r="AL145" s="186">
        <f t="shared" si="248"/>
        <v>8.7407286715925681E-2</v>
      </c>
      <c r="AM145" s="186">
        <f t="shared" si="248"/>
        <v>0.10021681241934899</v>
      </c>
      <c r="AN145" s="186">
        <f t="shared" si="248"/>
        <v>0.1130263381227723</v>
      </c>
      <c r="AO145" s="186">
        <f t="shared" si="248"/>
        <v>0.1130263381227723</v>
      </c>
      <c r="AP145" s="186">
        <f t="shared" si="248"/>
        <v>0.1130263381227723</v>
      </c>
    </row>
    <row r="146" spans="1:51">
      <c r="A146" s="40" t="s">
        <v>125</v>
      </c>
      <c r="B146" s="22" t="str">
        <f t="shared" si="237"/>
        <v>COM_PROJ</v>
      </c>
      <c r="C146" s="23" t="str">
        <f t="shared" si="238"/>
        <v>-</v>
      </c>
      <c r="D146" s="57" t="str">
        <f>ITEMS_TRA!C24</f>
        <v>TFHCV9</v>
      </c>
      <c r="E146" s="23" t="str">
        <f t="shared" si="239"/>
        <v>-</v>
      </c>
      <c r="F146" s="23" t="str">
        <f t="shared" si="239"/>
        <v>-</v>
      </c>
      <c r="G146" s="23" t="str">
        <f t="shared" si="239"/>
        <v>-</v>
      </c>
      <c r="H146" s="23" t="str">
        <f t="shared" si="239"/>
        <v>-</v>
      </c>
      <c r="I146" s="125">
        <f>IF(A146="*","",0)</f>
        <v>0</v>
      </c>
      <c r="J146" s="186">
        <f t="shared" ref="J146:AP146" si="249">INDEX($M120:$BA120,MATCH(J$132,$M$106:$BA$106,0))</f>
        <v>3.9969372950314989E-2</v>
      </c>
      <c r="K146" s="186">
        <f t="shared" si="249"/>
        <v>3.4102559292729893E-2</v>
      </c>
      <c r="L146" s="186">
        <f t="shared" si="249"/>
        <v>2.8235745635144794E-2</v>
      </c>
      <c r="M146" s="186">
        <f t="shared" si="249"/>
        <v>2.2368931977559604E-2</v>
      </c>
      <c r="N146" s="186">
        <f t="shared" si="249"/>
        <v>2.2519965988779801E-2</v>
      </c>
      <c r="O146" s="186">
        <f t="shared" si="249"/>
        <v>2.2670999999999997E-2</v>
      </c>
      <c r="P146" s="186">
        <f t="shared" si="249"/>
        <v>3.2861518920469207E-2</v>
      </c>
      <c r="Q146" s="186">
        <f t="shared" si="249"/>
        <v>4.3052037840938417E-2</v>
      </c>
      <c r="R146" s="186">
        <f t="shared" si="249"/>
        <v>4.0504848180205263E-2</v>
      </c>
      <c r="S146" s="186">
        <f t="shared" si="249"/>
        <v>4.1181949549436034E-2</v>
      </c>
      <c r="T146" s="186">
        <f t="shared" si="249"/>
        <v>4.1909584995884062E-2</v>
      </c>
      <c r="U146" s="186">
        <f t="shared" si="249"/>
        <v>4.2637220442332091E-2</v>
      </c>
      <c r="V146" s="186">
        <f t="shared" si="249"/>
        <v>4.336485588878012E-2</v>
      </c>
      <c r="W146" s="186">
        <f t="shared" si="249"/>
        <v>4.4092491335228148E-2</v>
      </c>
      <c r="X146" s="186">
        <f t="shared" si="249"/>
        <v>4.4820126781676177E-2</v>
      </c>
      <c r="Y146" s="186">
        <f t="shared" si="249"/>
        <v>4.5547762228124206E-2</v>
      </c>
      <c r="Z146" s="186">
        <f t="shared" si="249"/>
        <v>4.6275397674572234E-2</v>
      </c>
      <c r="AA146" s="186">
        <f t="shared" si="249"/>
        <v>4.7003033121020263E-2</v>
      </c>
      <c r="AB146" s="186">
        <f t="shared" si="249"/>
        <v>4.7730668567468298E-2</v>
      </c>
      <c r="AC146" s="186">
        <f t="shared" si="249"/>
        <v>4.8931005718074447E-2</v>
      </c>
      <c r="AD146" s="186">
        <f t="shared" si="249"/>
        <v>5.0131342868680595E-2</v>
      </c>
      <c r="AE146" s="186">
        <f t="shared" si="249"/>
        <v>5.1331680019286743E-2</v>
      </c>
      <c r="AF146" s="186">
        <f t="shared" si="249"/>
        <v>5.2532017169892892E-2</v>
      </c>
      <c r="AG146" s="186">
        <f t="shared" si="249"/>
        <v>5.373235432049904E-2</v>
      </c>
      <c r="AH146" s="186">
        <f t="shared" si="249"/>
        <v>5.4932691471105188E-2</v>
      </c>
      <c r="AI146" s="186">
        <f t="shared" si="249"/>
        <v>5.6133028621711337E-2</v>
      </c>
      <c r="AJ146" s="186">
        <f t="shared" si="249"/>
        <v>5.7333365772317485E-2</v>
      </c>
      <c r="AK146" s="186">
        <f t="shared" si="249"/>
        <v>5.8533702922923633E-2</v>
      </c>
      <c r="AL146" s="186">
        <f t="shared" si="249"/>
        <v>5.9734040073529761E-2</v>
      </c>
      <c r="AM146" s="186">
        <f t="shared" si="249"/>
        <v>6.8488055332898104E-2</v>
      </c>
      <c r="AN146" s="186">
        <f t="shared" si="249"/>
        <v>7.7242070592266454E-2</v>
      </c>
      <c r="AO146" s="186">
        <f t="shared" si="249"/>
        <v>7.7242070592266454E-2</v>
      </c>
      <c r="AP146" s="186">
        <f t="shared" si="249"/>
        <v>7.7242070592266454E-2</v>
      </c>
    </row>
    <row r="147" spans="1:51">
      <c r="A147" s="40" t="s">
        <v>125</v>
      </c>
      <c r="B147" s="22" t="str">
        <f t="shared" si="237"/>
        <v>COM_PROJ</v>
      </c>
      <c r="C147" s="23" t="str">
        <f t="shared" si="238"/>
        <v>-</v>
      </c>
      <c r="D147" s="57" t="str">
        <f>ITEMS_TRA!C25</f>
        <v>TFRCO</v>
      </c>
      <c r="E147" s="23" t="str">
        <f t="shared" si="239"/>
        <v>-</v>
      </c>
      <c r="F147" s="23" t="str">
        <f t="shared" si="239"/>
        <v>-</v>
      </c>
      <c r="G147" s="23" t="str">
        <f t="shared" si="239"/>
        <v>-</v>
      </c>
      <c r="H147" s="23" t="str">
        <f t="shared" si="239"/>
        <v>-</v>
      </c>
      <c r="I147" s="125">
        <f>IF(A147="*","",0)</f>
        <v>0</v>
      </c>
      <c r="J147" s="186">
        <f t="shared" ref="J147:AP147" si="250">INDEX($M121:$BA121,MATCH(J$132,$M$106:$BA$106,0))</f>
        <v>22</v>
      </c>
      <c r="K147" s="186">
        <f t="shared" si="250"/>
        <v>22.352445526032646</v>
      </c>
      <c r="L147" s="186">
        <f t="shared" si="250"/>
        <v>22.704891052065292</v>
      </c>
      <c r="M147" s="186">
        <f t="shared" si="250"/>
        <v>23.057336578097942</v>
      </c>
      <c r="N147" s="186">
        <f t="shared" si="250"/>
        <v>23.249070137552067</v>
      </c>
      <c r="O147" s="186">
        <f t="shared" si="250"/>
        <v>23.440803697006192</v>
      </c>
      <c r="P147" s="186">
        <f t="shared" si="250"/>
        <v>23.568784279696359</v>
      </c>
      <c r="Q147" s="186">
        <f t="shared" si="250"/>
        <v>23.696764862386523</v>
      </c>
      <c r="R147" s="186">
        <f t="shared" si="250"/>
        <v>22.294737049596232</v>
      </c>
      <c r="S147" s="186">
        <f t="shared" si="250"/>
        <v>22.667428163404651</v>
      </c>
      <c r="T147" s="186">
        <f t="shared" si="250"/>
        <v>23.0679343169977</v>
      </c>
      <c r="U147" s="186">
        <f t="shared" si="250"/>
        <v>23.46844047059075</v>
      </c>
      <c r="V147" s="186">
        <f t="shared" si="250"/>
        <v>23.868946624183799</v>
      </c>
      <c r="W147" s="186">
        <f t="shared" si="250"/>
        <v>24.269452777776849</v>
      </c>
      <c r="X147" s="186">
        <f t="shared" si="250"/>
        <v>24.669958931369898</v>
      </c>
      <c r="Y147" s="186">
        <f t="shared" si="250"/>
        <v>25.070465084962947</v>
      </c>
      <c r="Z147" s="186">
        <f t="shared" si="250"/>
        <v>25.470971238555997</v>
      </c>
      <c r="AA147" s="186">
        <f t="shared" si="250"/>
        <v>25.871477392149046</v>
      </c>
      <c r="AB147" s="186">
        <f t="shared" si="250"/>
        <v>26.271983545742081</v>
      </c>
      <c r="AC147" s="186">
        <f t="shared" si="250"/>
        <v>26.932674854213737</v>
      </c>
      <c r="AD147" s="186">
        <f t="shared" si="250"/>
        <v>27.593366162685392</v>
      </c>
      <c r="AE147" s="186">
        <f t="shared" si="250"/>
        <v>28.254057471157047</v>
      </c>
      <c r="AF147" s="186">
        <f t="shared" si="250"/>
        <v>28.914748779628702</v>
      </c>
      <c r="AG147" s="186">
        <f t="shared" si="250"/>
        <v>29.575440088100358</v>
      </c>
      <c r="AH147" s="186">
        <f t="shared" si="250"/>
        <v>30.236131396572013</v>
      </c>
      <c r="AI147" s="186">
        <f t="shared" si="250"/>
        <v>30.896822705043668</v>
      </c>
      <c r="AJ147" s="186">
        <f t="shared" si="250"/>
        <v>31.557514013515323</v>
      </c>
      <c r="AK147" s="186">
        <f t="shared" si="250"/>
        <v>32.218205321986979</v>
      </c>
      <c r="AL147" s="186">
        <f t="shared" si="250"/>
        <v>32.878896630458648</v>
      </c>
      <c r="AM147" s="186">
        <f t="shared" si="250"/>
        <v>37.697294355774616</v>
      </c>
      <c r="AN147" s="186">
        <f t="shared" si="250"/>
        <v>42.515692081090613</v>
      </c>
      <c r="AO147" s="186">
        <f t="shared" si="250"/>
        <v>42.515692081090613</v>
      </c>
      <c r="AP147" s="186">
        <f t="shared" si="250"/>
        <v>42.515692081090613</v>
      </c>
    </row>
    <row r="148" spans="1:51">
      <c r="A148" s="40"/>
      <c r="B148" s="22" t="str">
        <f t="shared" si="237"/>
        <v>COM_PROJ</v>
      </c>
      <c r="C148" s="23" t="str">
        <f t="shared" si="238"/>
        <v>-</v>
      </c>
      <c r="D148" s="57" t="str">
        <f>ITEMS_TRA!C26</f>
        <v>TFROT</v>
      </c>
      <c r="E148" s="23" t="str">
        <f t="shared" si="239"/>
        <v>-</v>
      </c>
      <c r="F148" s="23" t="str">
        <f t="shared" si="239"/>
        <v>-</v>
      </c>
      <c r="G148" s="23" t="str">
        <f t="shared" si="239"/>
        <v>-</v>
      </c>
      <c r="H148" s="23" t="str">
        <f t="shared" si="239"/>
        <v>-</v>
      </c>
      <c r="I148" s="125">
        <f>IF(A148="*","",0)</f>
        <v>0</v>
      </c>
      <c r="J148" s="186">
        <f t="shared" ref="J148:AP148" si="251">INDEX($M122:$BA122,MATCH(J$132,$M$106:$BA$106,0))</f>
        <v>25.1</v>
      </c>
      <c r="K148" s="186">
        <f t="shared" si="251"/>
        <v>25.502108304700894</v>
      </c>
      <c r="L148" s="186">
        <f t="shared" si="251"/>
        <v>25.904216609401786</v>
      </c>
      <c r="M148" s="186">
        <f t="shared" si="251"/>
        <v>26.306324914102674</v>
      </c>
      <c r="N148" s="186">
        <f t="shared" si="251"/>
        <v>26.525075475116246</v>
      </c>
      <c r="O148" s="186">
        <f t="shared" si="251"/>
        <v>26.743826036129814</v>
      </c>
      <c r="P148" s="186">
        <f t="shared" si="251"/>
        <v>26.889840246380864</v>
      </c>
      <c r="Q148" s="186">
        <f t="shared" si="251"/>
        <v>27.035854456631917</v>
      </c>
      <c r="R148" s="186">
        <f t="shared" si="251"/>
        <v>25.436268179312091</v>
      </c>
      <c r="S148" s="186">
        <f t="shared" si="251"/>
        <v>25.861474859157145</v>
      </c>
      <c r="T148" s="186">
        <f t="shared" si="251"/>
        <v>26.318415970756487</v>
      </c>
      <c r="U148" s="186">
        <f t="shared" si="251"/>
        <v>26.775357082355828</v>
      </c>
      <c r="V148" s="186">
        <f t="shared" si="251"/>
        <v>27.23229819395517</v>
      </c>
      <c r="W148" s="186">
        <f t="shared" si="251"/>
        <v>27.689239305554512</v>
      </c>
      <c r="X148" s="186">
        <f t="shared" si="251"/>
        <v>28.146180417153854</v>
      </c>
      <c r="Y148" s="186">
        <f t="shared" si="251"/>
        <v>28.603121528753196</v>
      </c>
      <c r="Z148" s="186">
        <f t="shared" si="251"/>
        <v>29.060062640352537</v>
      </c>
      <c r="AA148" s="186">
        <f t="shared" si="251"/>
        <v>29.517003751951879</v>
      </c>
      <c r="AB148" s="186">
        <f t="shared" si="251"/>
        <v>29.973944863551218</v>
      </c>
      <c r="AC148" s="186">
        <f t="shared" si="251"/>
        <v>30.727733583671153</v>
      </c>
      <c r="AD148" s="186">
        <f t="shared" si="251"/>
        <v>31.481522303791088</v>
      </c>
      <c r="AE148" s="186">
        <f t="shared" si="251"/>
        <v>32.235311023911024</v>
      </c>
      <c r="AF148" s="186">
        <f t="shared" si="251"/>
        <v>32.989099744030959</v>
      </c>
      <c r="AG148" s="186">
        <f t="shared" si="251"/>
        <v>33.742888464150894</v>
      </c>
      <c r="AH148" s="186">
        <f t="shared" si="251"/>
        <v>34.49667718427083</v>
      </c>
      <c r="AI148" s="186">
        <f t="shared" si="251"/>
        <v>35.250465904390765</v>
      </c>
      <c r="AJ148" s="186">
        <f t="shared" si="251"/>
        <v>36.0042546245107</v>
      </c>
      <c r="AK148" s="186">
        <f t="shared" si="251"/>
        <v>36.758043344630636</v>
      </c>
      <c r="AL148" s="186">
        <f t="shared" si="251"/>
        <v>37.511832064750571</v>
      </c>
      <c r="AM148" s="186">
        <f t="shared" si="251"/>
        <v>43.009185833179252</v>
      </c>
      <c r="AN148" s="186">
        <f t="shared" si="251"/>
        <v>48.506539601607955</v>
      </c>
      <c r="AO148" s="186">
        <f t="shared" si="251"/>
        <v>48.506539601607955</v>
      </c>
      <c r="AP148" s="186">
        <f t="shared" si="251"/>
        <v>48.506539601607955</v>
      </c>
    </row>
    <row r="149" spans="1:51">
      <c r="A149" s="40"/>
      <c r="B149" s="22" t="str">
        <f t="shared" si="237"/>
        <v>COM_PROJ</v>
      </c>
      <c r="C149" s="124" t="str">
        <f t="shared" si="238"/>
        <v>-</v>
      </c>
      <c r="D149" s="57" t="str">
        <f>ITEMS_TRA!C27</f>
        <v>TFREX</v>
      </c>
      <c r="E149" s="124" t="str">
        <f t="shared" si="239"/>
        <v>-</v>
      </c>
      <c r="F149" s="124" t="str">
        <f t="shared" si="239"/>
        <v>-</v>
      </c>
      <c r="G149" s="124" t="str">
        <f t="shared" si="239"/>
        <v>-</v>
      </c>
      <c r="H149" s="124" t="str">
        <f t="shared" si="239"/>
        <v>-</v>
      </c>
      <c r="I149" s="125">
        <f>IF(A149="*","",0)</f>
        <v>0</v>
      </c>
      <c r="J149" s="186">
        <f t="shared" ref="J149:AP149" si="252">INDEX($M123:$BA123,MATCH(J$132,$M$106:$BA$106,0))</f>
        <v>82</v>
      </c>
      <c r="K149" s="186">
        <f t="shared" si="252"/>
        <v>82</v>
      </c>
      <c r="L149" s="186">
        <f t="shared" si="252"/>
        <v>82</v>
      </c>
      <c r="M149" s="186">
        <f t="shared" si="252"/>
        <v>82</v>
      </c>
      <c r="N149" s="186">
        <f t="shared" si="252"/>
        <v>82</v>
      </c>
      <c r="O149" s="186">
        <f t="shared" si="252"/>
        <v>82</v>
      </c>
      <c r="P149" s="186">
        <f t="shared" si="252"/>
        <v>82.736172776937963</v>
      </c>
      <c r="Q149" s="186">
        <f t="shared" si="252"/>
        <v>83.472345553875911</v>
      </c>
      <c r="R149" s="186">
        <f t="shared" si="252"/>
        <v>75.296230147600639</v>
      </c>
      <c r="S149" s="186">
        <f t="shared" si="252"/>
        <v>79.105852655656577</v>
      </c>
      <c r="T149" s="186">
        <f t="shared" si="252"/>
        <v>80.098633146166861</v>
      </c>
      <c r="U149" s="186">
        <f t="shared" si="252"/>
        <v>81.091413636677146</v>
      </c>
      <c r="V149" s="186">
        <f t="shared" si="252"/>
        <v>82.08419412718743</v>
      </c>
      <c r="W149" s="186">
        <f t="shared" si="252"/>
        <v>83.076974617697715</v>
      </c>
      <c r="X149" s="186">
        <f t="shared" si="252"/>
        <v>84.069755108208</v>
      </c>
      <c r="Y149" s="186">
        <f t="shared" si="252"/>
        <v>85.062535598718284</v>
      </c>
      <c r="Z149" s="186">
        <f t="shared" si="252"/>
        <v>86.055316089228569</v>
      </c>
      <c r="AA149" s="186">
        <f t="shared" si="252"/>
        <v>87.048096579738854</v>
      </c>
      <c r="AB149" s="186">
        <f t="shared" si="252"/>
        <v>88.040877070249081</v>
      </c>
      <c r="AC149" s="186">
        <f t="shared" si="252"/>
        <v>89.889451104345511</v>
      </c>
      <c r="AD149" s="186">
        <f t="shared" si="252"/>
        <v>91.738025138441941</v>
      </c>
      <c r="AE149" s="186">
        <f t="shared" si="252"/>
        <v>93.586599172538371</v>
      </c>
      <c r="AF149" s="186">
        <f t="shared" si="252"/>
        <v>95.435173206634801</v>
      </c>
      <c r="AG149" s="186">
        <f t="shared" si="252"/>
        <v>97.28374724073123</v>
      </c>
      <c r="AH149" s="186">
        <f t="shared" si="252"/>
        <v>99.13232127482766</v>
      </c>
      <c r="AI149" s="186">
        <f t="shared" si="252"/>
        <v>100.98089530892409</v>
      </c>
      <c r="AJ149" s="186">
        <f t="shared" si="252"/>
        <v>102.82946934302052</v>
      </c>
      <c r="AK149" s="186">
        <f t="shared" si="252"/>
        <v>104.67804337711695</v>
      </c>
      <c r="AL149" s="186">
        <f t="shared" si="252"/>
        <v>106.52661741121335</v>
      </c>
      <c r="AM149" s="186">
        <f t="shared" si="252"/>
        <v>118.056857121503</v>
      </c>
      <c r="AN149" s="186">
        <f t="shared" si="252"/>
        <v>129.58709683179265</v>
      </c>
      <c r="AO149" s="186">
        <f t="shared" si="252"/>
        <v>129.58709683179265</v>
      </c>
      <c r="AP149" s="186">
        <f t="shared" si="252"/>
        <v>129.58709683179265</v>
      </c>
    </row>
    <row r="150" spans="1:51">
      <c r="A150" s="187"/>
      <c r="B150" s="187"/>
      <c r="C150" s="187"/>
      <c r="D150" s="187"/>
      <c r="E150" s="187"/>
      <c r="F150" s="187"/>
      <c r="G150" s="187"/>
      <c r="H150" s="187"/>
      <c r="I150" s="63"/>
      <c r="J150" s="63"/>
      <c r="K150" s="63"/>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row>
    <row r="151" spans="1:51">
      <c r="A151" s="187"/>
      <c r="B151" s="187"/>
      <c r="C151" s="187"/>
      <c r="D151" s="187"/>
      <c r="E151" s="187"/>
      <c r="F151" s="187"/>
      <c r="G151" s="63"/>
      <c r="H151" s="63"/>
      <c r="I151" s="63"/>
      <c r="J151" s="63"/>
      <c r="K151" s="63"/>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row>
    <row r="152" spans="1:51">
      <c r="A152" s="187"/>
      <c r="B152" s="187"/>
      <c r="C152" s="187"/>
      <c r="D152" s="187"/>
      <c r="E152" s="187"/>
      <c r="F152" s="187"/>
      <c r="G152" s="63"/>
      <c r="H152" s="63"/>
      <c r="I152" s="63"/>
      <c r="J152" s="63"/>
      <c r="K152" s="63"/>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row>
    <row r="153" spans="1:51">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row>
    <row r="154" spans="1:51">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row>
    <row r="155" spans="1:51">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row>
    <row r="156" spans="1:51">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row>
    <row r="157" spans="1:51">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row>
    <row r="158" spans="1:51">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row>
    <row r="159" spans="1:51">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row>
    <row r="160" spans="1:51">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row>
    <row r="161" spans="1:78">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row>
    <row r="162" spans="1:78">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row>
    <row r="163" spans="1:78">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row>
    <row r="164" spans="1:78">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row>
    <row r="165" spans="1:78">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row>
    <row r="166" spans="1:78">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row>
    <row r="167" spans="1:78">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row>
    <row r="168" spans="1:78">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row>
    <row r="169" spans="1:78">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row>
    <row r="170" spans="1:78" ht="23.25">
      <c r="A170" s="114" t="s">
        <v>16</v>
      </c>
      <c r="B170" s="118" t="s">
        <v>18</v>
      </c>
      <c r="C170" s="118" t="s">
        <v>19</v>
      </c>
      <c r="D170" s="118" t="s">
        <v>20</v>
      </c>
      <c r="E170" s="118" t="s">
        <v>21</v>
      </c>
      <c r="F170" s="118" t="s">
        <v>22</v>
      </c>
      <c r="G170" s="118" t="s">
        <v>23</v>
      </c>
      <c r="H170" s="118"/>
      <c r="I170" s="118" t="s">
        <v>24</v>
      </c>
      <c r="J170" s="119" t="s">
        <v>25</v>
      </c>
      <c r="K170" s="185">
        <v>2012</v>
      </c>
      <c r="L170" s="185">
        <v>2013</v>
      </c>
      <c r="M170" s="185">
        <v>2014</v>
      </c>
      <c r="N170" s="185">
        <v>2015</v>
      </c>
      <c r="O170" s="185">
        <v>2016</v>
      </c>
      <c r="P170" s="185">
        <v>2017</v>
      </c>
      <c r="Q170" s="185">
        <v>2018</v>
      </c>
      <c r="R170" s="185">
        <v>2019</v>
      </c>
      <c r="S170" s="185">
        <v>2020</v>
      </c>
      <c r="T170" s="185">
        <v>2021</v>
      </c>
      <c r="U170" s="185">
        <v>2022</v>
      </c>
      <c r="V170" s="185">
        <v>2023</v>
      </c>
      <c r="W170" s="185">
        <v>2024</v>
      </c>
      <c r="X170" s="185">
        <v>2025</v>
      </c>
      <c r="Y170" s="185">
        <v>2026</v>
      </c>
      <c r="Z170" s="185">
        <v>2027</v>
      </c>
      <c r="AA170" s="185">
        <v>2028</v>
      </c>
      <c r="AB170" s="185">
        <v>2029</v>
      </c>
      <c r="AC170" s="185">
        <v>2030</v>
      </c>
      <c r="AD170" s="185">
        <v>2031</v>
      </c>
      <c r="AE170" s="185">
        <v>2032</v>
      </c>
      <c r="AF170" s="185">
        <v>2033</v>
      </c>
      <c r="AG170" s="185">
        <v>2034</v>
      </c>
      <c r="AH170" s="185">
        <v>2035</v>
      </c>
      <c r="AI170" s="185">
        <v>2036</v>
      </c>
      <c r="AJ170" s="185">
        <v>2037</v>
      </c>
      <c r="AK170" s="185">
        <v>2038</v>
      </c>
      <c r="AL170" s="185">
        <v>2039</v>
      </c>
      <c r="AM170" s="185">
        <v>2040</v>
      </c>
      <c r="AN170" s="185">
        <v>2041</v>
      </c>
      <c r="AO170" s="185">
        <v>2042</v>
      </c>
      <c r="AP170" s="185">
        <v>2043</v>
      </c>
      <c r="AQ170" s="185">
        <v>2044</v>
      </c>
    </row>
    <row r="171" spans="1:78" s="191" customFormat="1">
      <c r="A171" s="114" t="s">
        <v>16</v>
      </c>
      <c r="B171" s="191" t="s">
        <v>392</v>
      </c>
      <c r="C171" s="191">
        <v>1</v>
      </c>
      <c r="D171" s="191">
        <v>2006</v>
      </c>
      <c r="E171" s="191">
        <v>2010</v>
      </c>
      <c r="F171" s="191">
        <v>2020</v>
      </c>
      <c r="G171" s="191">
        <v>2030</v>
      </c>
      <c r="I171" s="191">
        <v>2040</v>
      </c>
      <c r="J171" s="237">
        <v>2050</v>
      </c>
      <c r="K171" s="191">
        <f>MATCH(J$132,$C$128:$K$128,$C171)</f>
        <v>1</v>
      </c>
      <c r="L171" s="191">
        <f>MATCH(K$132,$C$128:$K$128,$C171)</f>
        <v>1</v>
      </c>
      <c r="M171" s="191">
        <f>MATCH(L$132,$C$128:$K$128,$C171)</f>
        <v>1</v>
      </c>
      <c r="N171" s="191">
        <f>MATCH(M$132,$C$128:$K$128,$C171)</f>
        <v>2</v>
      </c>
      <c r="O171" s="191">
        <f>MATCH(N$132,$C$128:$K$128,$C171)</f>
        <v>2</v>
      </c>
      <c r="P171" s="191">
        <f>MATCH(O$132,$C$128:$K$128,$C171)</f>
        <v>3</v>
      </c>
      <c r="Q171" s="191">
        <f>MATCH(P$132,$C$128:$K$128,$C171)</f>
        <v>3</v>
      </c>
      <c r="R171" s="191">
        <f>MATCH(Q$132,$C$128:$K$128,$C171)</f>
        <v>4</v>
      </c>
      <c r="S171" s="191">
        <f>MATCH(R$132,$C$128:$K$128,$C171)</f>
        <v>5</v>
      </c>
      <c r="T171" s="191">
        <f>MATCH(S$132,$C$128:$K$128,$C171)</f>
        <v>6</v>
      </c>
      <c r="U171" s="191">
        <f>MATCH(T$132,$C$128:$K$128,$C171)</f>
        <v>6</v>
      </c>
      <c r="V171" s="191">
        <f>MATCH(U$132,$C$128:$K$128,$C171)</f>
        <v>6</v>
      </c>
      <c r="W171" s="191">
        <f>MATCH(V$132,$C$128:$K$128,$C171)</f>
        <v>6</v>
      </c>
      <c r="X171" s="191">
        <f>MATCH(W$132,$C$128:$K$128,$C171)</f>
        <v>6</v>
      </c>
      <c r="Y171" s="191">
        <f>MATCH(X$132,$C$128:$K$128,$C171)</f>
        <v>6</v>
      </c>
      <c r="Z171" s="191">
        <f>MATCH(Y$132,$C$128:$K$128,$C171)</f>
        <v>6</v>
      </c>
      <c r="AA171" s="191">
        <f>MATCH(Z$132,$C$128:$K$128,$C171)</f>
        <v>6</v>
      </c>
      <c r="AB171" s="191">
        <f>MATCH(AA$132,$C$128:$K$128,$C171)</f>
        <v>6</v>
      </c>
      <c r="AC171" s="191">
        <f>MATCH(AB$132,$C$128:$K$128,$C171)</f>
        <v>7</v>
      </c>
      <c r="AD171" s="191">
        <f>MATCH(AC$132,$C$128:$K$128,$C171)</f>
        <v>7</v>
      </c>
      <c r="AE171" s="191">
        <f>MATCH(AD$132,$C$128:$K$128,$C171)</f>
        <v>7</v>
      </c>
      <c r="AF171" s="191">
        <f>MATCH(AE$132,$C$128:$K$128,$C171)</f>
        <v>7</v>
      </c>
      <c r="AG171" s="191">
        <f>MATCH(AF$132,$C$128:$K$128,$C171)</f>
        <v>7</v>
      </c>
      <c r="AH171" s="191">
        <f>MATCH(AG$132,$C$128:$K$128,$C171)</f>
        <v>7</v>
      </c>
      <c r="AI171" s="191">
        <f>MATCH(AH$132,$C$128:$K$128,$C171)</f>
        <v>7</v>
      </c>
      <c r="AJ171" s="191">
        <f>MATCH(AI$132,$C$128:$K$128,$C171)</f>
        <v>7</v>
      </c>
      <c r="AK171" s="191">
        <f>MATCH(AJ$132,$C$128:$K$128,$C171)</f>
        <v>7</v>
      </c>
      <c r="AL171" s="191">
        <f>MATCH(AK$132,$C$128:$K$128,$C171)</f>
        <v>7</v>
      </c>
      <c r="AM171" s="191">
        <f>MATCH(AL$132,$C$128:$K$128,$C171)</f>
        <v>8</v>
      </c>
      <c r="AN171" s="191">
        <f>MATCH(AM$132,$C$128:$K$128,$C171)</f>
        <v>8</v>
      </c>
      <c r="AO171" s="191">
        <f>MATCH(AN$132,$C$128:$K$128,$C171)</f>
        <v>9</v>
      </c>
      <c r="AP171" s="191">
        <f>MATCH(AO$132,$C$128:$K$128,$C171)</f>
        <v>9</v>
      </c>
      <c r="AQ171" s="191">
        <f>MATCH(AP$132,$C$128:$K$128,$C171)</f>
        <v>9</v>
      </c>
      <c r="AR171" s="185"/>
      <c r="AS171" s="185"/>
      <c r="AT171" s="185"/>
      <c r="AU171" s="185"/>
      <c r="AV171" s="185"/>
      <c r="AW171" s="185"/>
      <c r="AX171" s="185"/>
      <c r="AY171" s="185"/>
      <c r="AZ171" s="185"/>
      <c r="BA171" s="185"/>
      <c r="BB171" s="185"/>
      <c r="BC171" s="185"/>
      <c r="BD171" s="185"/>
      <c r="BE171" s="185"/>
      <c r="BF171" s="185"/>
      <c r="BG171" s="185"/>
      <c r="BH171" s="185"/>
      <c r="BI171" s="185"/>
      <c r="BJ171" s="185"/>
      <c r="BK171" s="185"/>
      <c r="BL171" s="185"/>
      <c r="BM171" s="185"/>
      <c r="BN171" s="185"/>
      <c r="BO171" s="185"/>
      <c r="BP171" s="185"/>
      <c r="BQ171" s="185"/>
      <c r="BR171" s="185"/>
      <c r="BS171" s="185"/>
      <c r="BT171" s="185"/>
      <c r="BU171" s="185"/>
      <c r="BV171" s="185"/>
      <c r="BW171" s="185"/>
      <c r="BX171" s="185"/>
      <c r="BY171" s="185"/>
      <c r="BZ171" s="185"/>
    </row>
    <row r="172" spans="1:78">
      <c r="A172" s="40" t="s">
        <v>16</v>
      </c>
      <c r="B172" s="185" t="s">
        <v>393</v>
      </c>
      <c r="C172" s="185">
        <v>0</v>
      </c>
      <c r="D172" s="185">
        <f>INDEX($D171:$J171,0,COUNT($D171:$J171)-D173)</f>
        <v>2040</v>
      </c>
      <c r="E172" s="185">
        <f>INDEX($D171:$J171,0,COUNT($D171:$J171)-E173)</f>
        <v>0</v>
      </c>
      <c r="F172" s="185">
        <f>INDEX($D171:$J171,0,COUNT($D171:$J171)-F173)</f>
        <v>2030</v>
      </c>
      <c r="G172" s="185">
        <f>INDEX($D171:$J171,0,COUNT($D171:$J171)-G173)</f>
        <v>2020</v>
      </c>
      <c r="I172" s="185">
        <f>INDEX($D171:$J171,0,COUNT($D171:$J171)-I173)</f>
        <v>2010</v>
      </c>
      <c r="J172" s="121">
        <f>INDEX($D171:$J171,0,COUNT($D171:$J171)-J173)</f>
        <v>2006</v>
      </c>
      <c r="K172" s="40">
        <f>MATCH(J$132,$C$128:$K$128,$C172)</f>
        <v>1</v>
      </c>
      <c r="L172" s="185" t="e">
        <f>MATCH(K$132,$C$128:$K$128,$C172)</f>
        <v>#N/A</v>
      </c>
      <c r="M172" s="185" t="e">
        <f>MATCH(L$132,$C$128:$K$128,$C172)</f>
        <v>#N/A</v>
      </c>
      <c r="N172" s="185">
        <f>MATCH(M$132,$C$128:$K$128,$C172)</f>
        <v>2</v>
      </c>
      <c r="O172" s="185" t="e">
        <f>MATCH(N$132,$C$128:$K$128,$C172)</f>
        <v>#N/A</v>
      </c>
      <c r="P172" s="185">
        <f>MATCH(O$132,$C$128:$K$128,$C172)</f>
        <v>3</v>
      </c>
      <c r="Q172" s="185" t="e">
        <f>MATCH(P$132,$C$128:$K$128,$C172)</f>
        <v>#N/A</v>
      </c>
      <c r="R172" s="185">
        <f>MATCH(Q$132,$C$128:$K$128,$C172)</f>
        <v>4</v>
      </c>
      <c r="S172" s="185">
        <f>MATCH(R$132,$C$128:$K$128,$C172)</f>
        <v>5</v>
      </c>
      <c r="T172" s="185">
        <f>MATCH(S$132,$C$128:$K$128,$C172)</f>
        <v>6</v>
      </c>
      <c r="U172" s="185" t="e">
        <f>MATCH(T$132,$C$128:$K$128,$C172)</f>
        <v>#N/A</v>
      </c>
      <c r="V172" s="185" t="e">
        <f>MATCH(U$132,$C$128:$K$128,$C172)</f>
        <v>#N/A</v>
      </c>
      <c r="W172" s="185" t="e">
        <f>MATCH(V$132,$C$128:$K$128,$C172)</f>
        <v>#N/A</v>
      </c>
      <c r="X172" s="185" t="e">
        <f>MATCH(W$132,$C$128:$K$128,$C172)</f>
        <v>#N/A</v>
      </c>
      <c r="Y172" s="185" t="e">
        <f>MATCH(X$132,$C$128:$K$128,$C172)</f>
        <v>#N/A</v>
      </c>
      <c r="Z172" s="185" t="e">
        <f>MATCH(Y$132,$C$128:$K$128,$C172)</f>
        <v>#N/A</v>
      </c>
      <c r="AA172" s="185" t="e">
        <f>MATCH(Z$132,$C$128:$K$128,$C172)</f>
        <v>#N/A</v>
      </c>
      <c r="AB172" s="185" t="e">
        <f>MATCH(AA$132,$C$128:$K$128,$C172)</f>
        <v>#N/A</v>
      </c>
      <c r="AC172" s="185">
        <f>MATCH(AB$132,$C$128:$K$128,$C172)</f>
        <v>7</v>
      </c>
      <c r="AD172" s="185" t="e">
        <f>MATCH(AC$132,$C$128:$K$128,$C172)</f>
        <v>#N/A</v>
      </c>
      <c r="AE172" s="185" t="e">
        <f>MATCH(AD$132,$C$128:$K$128,$C172)</f>
        <v>#N/A</v>
      </c>
      <c r="AF172" s="185" t="e">
        <f>MATCH(AE$132,$C$128:$K$128,$C172)</f>
        <v>#N/A</v>
      </c>
      <c r="AG172" s="185" t="e">
        <f>MATCH(AF$132,$C$128:$K$128,$C172)</f>
        <v>#N/A</v>
      </c>
      <c r="AH172" s="185" t="e">
        <f>MATCH(AG$132,$C$128:$K$128,$C172)</f>
        <v>#N/A</v>
      </c>
      <c r="AI172" s="185" t="e">
        <f>MATCH(AH$132,$C$128:$K$128,$C172)</f>
        <v>#N/A</v>
      </c>
      <c r="AJ172" s="185" t="e">
        <f>MATCH(AI$132,$C$128:$K$128,$C172)</f>
        <v>#N/A</v>
      </c>
      <c r="AK172" s="185" t="e">
        <f>MATCH(AJ$132,$C$128:$K$128,$C172)</f>
        <v>#N/A</v>
      </c>
      <c r="AL172" s="185" t="e">
        <f>MATCH(AK$132,$C$128:$K$128,$C172)</f>
        <v>#N/A</v>
      </c>
      <c r="AM172" s="185">
        <f>MATCH(AL$132,$C$128:$K$128,$C172)</f>
        <v>8</v>
      </c>
      <c r="AN172" s="185" t="e">
        <f>MATCH(AM$132,$C$128:$K$128,$C172)</f>
        <v>#N/A</v>
      </c>
      <c r="AO172" s="185">
        <f>MATCH(AN$132,$C$128:$K$128,$C172)</f>
        <v>9</v>
      </c>
      <c r="AP172" s="185" t="e">
        <f>MATCH(AO$132,$C$128:$K$128,$C172)</f>
        <v>#N/A</v>
      </c>
      <c r="AQ172" s="185" t="e">
        <f>MATCH(AP$132,$C$128:$K$128,$C172)</f>
        <v>#N/A</v>
      </c>
    </row>
    <row r="173" spans="1:78">
      <c r="A173" s="40" t="s">
        <v>16</v>
      </c>
      <c r="B173" s="185" t="s">
        <v>391</v>
      </c>
      <c r="C173" s="185">
        <v>-1</v>
      </c>
      <c r="D173" s="185">
        <v>0</v>
      </c>
      <c r="E173" s="185">
        <v>1</v>
      </c>
      <c r="F173" s="185">
        <v>2</v>
      </c>
      <c r="G173" s="185">
        <v>3</v>
      </c>
      <c r="I173" s="185">
        <v>4</v>
      </c>
      <c r="J173" s="185">
        <v>5</v>
      </c>
      <c r="K173" s="40">
        <f>MATCH(J$132,$C$129:$K$129,$C173)</f>
        <v>9</v>
      </c>
      <c r="L173" s="185">
        <f>MATCH(K$132,$C$129:$K$129,$C173)</f>
        <v>8</v>
      </c>
      <c r="M173" s="185">
        <f>MATCH(L$132,$C$129:$K$129,$C173)</f>
        <v>8</v>
      </c>
      <c r="N173" s="185">
        <f>MATCH(M$132,$C$129:$K$129,$C173)</f>
        <v>8</v>
      </c>
      <c r="O173" s="185">
        <f>MATCH(N$132,$C$129:$K$129,$C173)</f>
        <v>7</v>
      </c>
      <c r="P173" s="185">
        <f>MATCH(O$132,$C$129:$K$129,$C173)</f>
        <v>7</v>
      </c>
      <c r="Q173" s="185">
        <f>MATCH(P$132,$C$129:$K$129,$C173)</f>
        <v>6</v>
      </c>
      <c r="R173" s="185">
        <f>MATCH(Q$132,$C$129:$K$129,$C173)</f>
        <v>6</v>
      </c>
      <c r="S173" s="185">
        <f>MATCH(R$132,$C$129:$K$129,$C173)</f>
        <v>5</v>
      </c>
      <c r="T173" s="185">
        <f>MATCH(S$132,$C$129:$K$129,$C173)</f>
        <v>4</v>
      </c>
      <c r="U173" s="185">
        <f>MATCH(T$132,$C$129:$K$129,$C173)</f>
        <v>3</v>
      </c>
      <c r="V173" s="185">
        <f>MATCH(U$132,$C$129:$K$129,$C173)</f>
        <v>3</v>
      </c>
      <c r="W173" s="185">
        <f>MATCH(V$132,$C$129:$K$129,$C173)</f>
        <v>3</v>
      </c>
      <c r="X173" s="185">
        <f>MATCH(W$132,$C$129:$K$129,$C173)</f>
        <v>3</v>
      </c>
      <c r="Y173" s="185">
        <f>MATCH(X$132,$C$129:$K$129,$C173)</f>
        <v>3</v>
      </c>
      <c r="Z173" s="185">
        <f>MATCH(Y$132,$C$129:$K$129,$C173)</f>
        <v>3</v>
      </c>
      <c r="AA173" s="185">
        <f>MATCH(Z$132,$C$129:$K$129,$C173)</f>
        <v>3</v>
      </c>
      <c r="AB173" s="185">
        <f>MATCH(AA$132,$C$129:$K$129,$C173)</f>
        <v>3</v>
      </c>
      <c r="AC173" s="185">
        <f>MATCH(AB$132,$C$129:$K$129,$C173)</f>
        <v>3</v>
      </c>
      <c r="AD173" s="185">
        <f>MATCH(AC$132,$C$129:$K$129,$C173)</f>
        <v>2</v>
      </c>
      <c r="AE173" s="185">
        <f>MATCH(AD$132,$C$129:$K$129,$C173)</f>
        <v>2</v>
      </c>
      <c r="AF173" s="185">
        <f>MATCH(AE$132,$C$129:$K$129,$C173)</f>
        <v>2</v>
      </c>
      <c r="AG173" s="185">
        <f>MATCH(AF$132,$C$129:$K$129,$C173)</f>
        <v>2</v>
      </c>
      <c r="AH173" s="185">
        <f>MATCH(AG$132,$C$129:$K$129,$C173)</f>
        <v>2</v>
      </c>
      <c r="AI173" s="185">
        <f>MATCH(AH$132,$C$129:$K$129,$C173)</f>
        <v>2</v>
      </c>
      <c r="AJ173" s="185">
        <f>MATCH(AI$132,$C$129:$K$129,$C173)</f>
        <v>2</v>
      </c>
      <c r="AK173" s="185">
        <f>MATCH(AJ$132,$C$129:$K$129,$C173)</f>
        <v>2</v>
      </c>
      <c r="AL173" s="185">
        <f>MATCH(AK$132,$C$129:$K$129,$C173)</f>
        <v>2</v>
      </c>
      <c r="AM173" s="185">
        <f>MATCH(AL$132,$C$129:$K$129,$C173)</f>
        <v>2</v>
      </c>
      <c r="AN173" s="185">
        <f>MATCH(AM$132,$C$129:$K$129,$C173)</f>
        <v>1</v>
      </c>
      <c r="AO173" s="185">
        <f>MATCH(AN$132,$C$129:$K$129,$C173)</f>
        <v>1</v>
      </c>
      <c r="AP173" s="185" t="e">
        <f>MATCH(AO$132,$C$129:$K$129,$C173)</f>
        <v>#N/A</v>
      </c>
      <c r="AQ173" s="185" t="e">
        <f>MATCH(AP$132,$C$129:$K$129,$C173)</f>
        <v>#N/A</v>
      </c>
    </row>
    <row r="174" spans="1:78" s="117" customFormat="1">
      <c r="A174" s="40" t="s">
        <v>16</v>
      </c>
      <c r="B174" s="185" t="s">
        <v>394</v>
      </c>
      <c r="C174" s="185"/>
      <c r="D174" s="185"/>
      <c r="E174" s="185"/>
      <c r="F174" s="185"/>
      <c r="G174" s="185"/>
      <c r="H174" s="185"/>
      <c r="I174" s="185"/>
      <c r="J174" s="122"/>
      <c r="K174" s="189">
        <f>IF(ISNA(K171),-1,IF(ISNA(K173),99,IF(ISNA(K172),K171,0)))</f>
        <v>0</v>
      </c>
      <c r="L174" s="189">
        <f t="shared" ref="L174:AQ174" si="253">IF(ISNA(L171),-1,IF(ISNA(L173),99,IF(ISNA(L172),L171,0)))</f>
        <v>1</v>
      </c>
      <c r="M174" s="189">
        <f t="shared" si="253"/>
        <v>1</v>
      </c>
      <c r="N174" s="189">
        <f t="shared" si="253"/>
        <v>0</v>
      </c>
      <c r="O174" s="189">
        <f t="shared" si="253"/>
        <v>2</v>
      </c>
      <c r="P174" s="189">
        <f t="shared" si="253"/>
        <v>0</v>
      </c>
      <c r="Q174" s="189">
        <f t="shared" si="253"/>
        <v>3</v>
      </c>
      <c r="R174" s="189">
        <f t="shared" si="253"/>
        <v>0</v>
      </c>
      <c r="S174" s="189">
        <f t="shared" si="253"/>
        <v>0</v>
      </c>
      <c r="T174" s="189">
        <f t="shared" si="253"/>
        <v>0</v>
      </c>
      <c r="U174" s="189">
        <f t="shared" si="253"/>
        <v>6</v>
      </c>
      <c r="V174" s="189">
        <f t="shared" si="253"/>
        <v>6</v>
      </c>
      <c r="W174" s="189">
        <f t="shared" si="253"/>
        <v>6</v>
      </c>
      <c r="X174" s="189">
        <f t="shared" si="253"/>
        <v>6</v>
      </c>
      <c r="Y174" s="189">
        <f t="shared" si="253"/>
        <v>6</v>
      </c>
      <c r="Z174" s="189">
        <f t="shared" si="253"/>
        <v>6</v>
      </c>
      <c r="AA174" s="189">
        <f t="shared" si="253"/>
        <v>6</v>
      </c>
      <c r="AB174" s="189">
        <f t="shared" si="253"/>
        <v>6</v>
      </c>
      <c r="AC174" s="189">
        <f t="shared" si="253"/>
        <v>0</v>
      </c>
      <c r="AD174" s="189">
        <f t="shared" si="253"/>
        <v>7</v>
      </c>
      <c r="AE174" s="189">
        <f t="shared" si="253"/>
        <v>7</v>
      </c>
      <c r="AF174" s="189">
        <f t="shared" si="253"/>
        <v>7</v>
      </c>
      <c r="AG174" s="189">
        <f t="shared" si="253"/>
        <v>7</v>
      </c>
      <c r="AH174" s="189">
        <f t="shared" si="253"/>
        <v>7</v>
      </c>
      <c r="AI174" s="189">
        <f t="shared" si="253"/>
        <v>7</v>
      </c>
      <c r="AJ174" s="189">
        <f t="shared" si="253"/>
        <v>7</v>
      </c>
      <c r="AK174" s="189">
        <f t="shared" si="253"/>
        <v>7</v>
      </c>
      <c r="AL174" s="189">
        <f t="shared" si="253"/>
        <v>7</v>
      </c>
      <c r="AM174" s="189">
        <f t="shared" si="253"/>
        <v>0</v>
      </c>
      <c r="AN174" s="189">
        <f t="shared" si="253"/>
        <v>8</v>
      </c>
      <c r="AO174" s="189">
        <f t="shared" si="253"/>
        <v>0</v>
      </c>
      <c r="AP174" s="189">
        <f t="shared" si="253"/>
        <v>99</v>
      </c>
      <c r="AQ174" s="189">
        <f t="shared" si="253"/>
        <v>99</v>
      </c>
      <c r="AR174" s="185"/>
      <c r="AS174" s="185"/>
      <c r="AT174" s="185"/>
      <c r="AU174" s="185"/>
      <c r="AV174" s="185"/>
      <c r="AW174" s="185"/>
      <c r="AX174" s="185"/>
      <c r="AY174" s="185"/>
      <c r="AZ174" s="185"/>
      <c r="BA174" s="185"/>
      <c r="BB174" s="185"/>
      <c r="BC174" s="185"/>
      <c r="BD174" s="185"/>
      <c r="BE174" s="185"/>
      <c r="BF174" s="185"/>
      <c r="BG174" s="185"/>
      <c r="BH174" s="185"/>
      <c r="BI174" s="185"/>
      <c r="BJ174" s="185"/>
      <c r="BK174" s="185"/>
      <c r="BL174" s="185"/>
      <c r="BM174" s="185"/>
      <c r="BN174" s="185"/>
      <c r="BO174" s="185"/>
      <c r="BP174" s="185"/>
      <c r="BQ174" s="185"/>
      <c r="BR174" s="185"/>
      <c r="BS174" s="185"/>
      <c r="BT174" s="185"/>
      <c r="BU174" s="185"/>
      <c r="BV174" s="185"/>
      <c r="BW174" s="185"/>
      <c r="BX174" s="185"/>
      <c r="BY174" s="185"/>
      <c r="BZ174" s="185"/>
    </row>
    <row r="175" spans="1:78">
      <c r="A175" s="185" t="s">
        <v>16</v>
      </c>
      <c r="B175" s="22" t="str">
        <f t="shared" ref="B175:B184" si="254">IF(A175="*","","COM_PROJ")</f>
        <v/>
      </c>
      <c r="C175" s="23" t="str">
        <f t="shared" ref="C175:C184" si="255">IF($A175="*","","-")</f>
        <v/>
      </c>
      <c r="D175" s="57"/>
      <c r="E175" s="23" t="str">
        <f t="shared" ref="E175:I184" si="256">IF($A175="*","","-")</f>
        <v/>
      </c>
      <c r="F175" s="23" t="str">
        <f t="shared" si="256"/>
        <v/>
      </c>
      <c r="G175" s="23" t="str">
        <f t="shared" si="256"/>
        <v/>
      </c>
      <c r="H175" s="23"/>
      <c r="I175" s="23" t="str">
        <f t="shared" si="256"/>
        <v/>
      </c>
      <c r="K175" s="23">
        <f>K170</f>
        <v>2012</v>
      </c>
      <c r="L175" s="23">
        <f t="shared" ref="L175:AQ175" si="257">L170</f>
        <v>2013</v>
      </c>
      <c r="M175" s="23">
        <f t="shared" si="257"/>
        <v>2014</v>
      </c>
      <c r="N175" s="23">
        <f t="shared" si="257"/>
        <v>2015</v>
      </c>
      <c r="O175" s="23">
        <f t="shared" si="257"/>
        <v>2016</v>
      </c>
      <c r="P175" s="23">
        <f t="shared" si="257"/>
        <v>2017</v>
      </c>
      <c r="Q175" s="23">
        <f t="shared" si="257"/>
        <v>2018</v>
      </c>
      <c r="R175" s="23">
        <f t="shared" si="257"/>
        <v>2019</v>
      </c>
      <c r="S175" s="23">
        <f t="shared" si="257"/>
        <v>2020</v>
      </c>
      <c r="T175" s="23">
        <f t="shared" si="257"/>
        <v>2021</v>
      </c>
      <c r="U175" s="23">
        <f t="shared" si="257"/>
        <v>2022</v>
      </c>
      <c r="V175" s="23">
        <f t="shared" si="257"/>
        <v>2023</v>
      </c>
      <c r="W175" s="23">
        <f t="shared" si="257"/>
        <v>2024</v>
      </c>
      <c r="X175" s="23">
        <f t="shared" si="257"/>
        <v>2025</v>
      </c>
      <c r="Y175" s="23">
        <f t="shared" si="257"/>
        <v>2026</v>
      </c>
      <c r="Z175" s="23">
        <f t="shared" si="257"/>
        <v>2027</v>
      </c>
      <c r="AA175" s="23">
        <f t="shared" si="257"/>
        <v>2028</v>
      </c>
      <c r="AB175" s="23">
        <f t="shared" si="257"/>
        <v>2029</v>
      </c>
      <c r="AC175" s="23">
        <f t="shared" si="257"/>
        <v>2030</v>
      </c>
      <c r="AD175" s="23">
        <f t="shared" si="257"/>
        <v>2031</v>
      </c>
      <c r="AE175" s="23">
        <f t="shared" si="257"/>
        <v>2032</v>
      </c>
      <c r="AF175" s="23">
        <f t="shared" si="257"/>
        <v>2033</v>
      </c>
      <c r="AG175" s="23">
        <f t="shared" si="257"/>
        <v>2034</v>
      </c>
      <c r="AH175" s="23">
        <f t="shared" si="257"/>
        <v>2035</v>
      </c>
      <c r="AI175" s="23">
        <f t="shared" si="257"/>
        <v>2036</v>
      </c>
      <c r="AJ175" s="23">
        <f t="shared" si="257"/>
        <v>2037</v>
      </c>
      <c r="AK175" s="23">
        <f t="shared" si="257"/>
        <v>2038</v>
      </c>
      <c r="AL175" s="23">
        <f t="shared" si="257"/>
        <v>2039</v>
      </c>
      <c r="AM175" s="23">
        <f t="shared" si="257"/>
        <v>2040</v>
      </c>
      <c r="AN175" s="23">
        <f t="shared" si="257"/>
        <v>2041</v>
      </c>
      <c r="AO175" s="23">
        <f t="shared" si="257"/>
        <v>2042</v>
      </c>
      <c r="AP175" s="23">
        <f t="shared" si="257"/>
        <v>2043</v>
      </c>
      <c r="AQ175" s="23">
        <f t="shared" si="257"/>
        <v>2044</v>
      </c>
    </row>
    <row r="176" spans="1:78">
      <c r="A176" s="185" t="s">
        <v>16</v>
      </c>
      <c r="B176" s="22" t="str">
        <f t="shared" si="254"/>
        <v/>
      </c>
      <c r="C176" s="23" t="str">
        <f t="shared" si="255"/>
        <v/>
      </c>
      <c r="D176" s="57"/>
      <c r="E176" s="23" t="str">
        <f t="shared" si="256"/>
        <v/>
      </c>
      <c r="F176" s="23" t="str">
        <f t="shared" si="256"/>
        <v/>
      </c>
      <c r="G176" s="23" t="str">
        <f t="shared" si="256"/>
        <v/>
      </c>
      <c r="H176" s="23"/>
      <c r="I176" s="23" t="str">
        <f t="shared" si="256"/>
        <v/>
      </c>
      <c r="J176" s="133" t="str">
        <f>B76</f>
        <v>TFLCV</v>
      </c>
      <c r="K176" s="186">
        <f>F43</f>
        <v>17.151878492126293</v>
      </c>
      <c r="L176" s="186">
        <f t="shared" ref="L176:AQ176" si="258">IF(L$174=-1,M176,IF(L$174=99,K176,IF(L$174=0,INDEX($F43:$N43,0,L$172),(INDEX($F43:$N43,0,L$174+1)-INDEX($F43:$N43,0,L$174))/(INDEX($F$4:$N$4,0,L$174+1)-INDEX($F$4:$N$4,0,L$174))+K176)))</f>
        <v>17.42665589383564</v>
      </c>
      <c r="M176" s="186">
        <f t="shared" si="258"/>
        <v>17.701433295544987</v>
      </c>
      <c r="N176" s="186">
        <f t="shared" si="258"/>
        <v>17.976210697254331</v>
      </c>
      <c r="O176" s="186">
        <f t="shared" si="258"/>
        <v>18.125692093373424</v>
      </c>
      <c r="P176" s="186">
        <f t="shared" si="258"/>
        <v>18.275173489492516</v>
      </c>
      <c r="Q176" s="186">
        <f t="shared" si="258"/>
        <v>18.374951098749481</v>
      </c>
      <c r="R176" s="186">
        <f t="shared" si="258"/>
        <v>18.474728708006445</v>
      </c>
      <c r="S176" s="186">
        <f t="shared" si="258"/>
        <v>17.381664585844597</v>
      </c>
      <c r="T176" s="186">
        <f t="shared" si="258"/>
        <v>17.672226072169018</v>
      </c>
      <c r="U176" s="186">
        <f t="shared" si="258"/>
        <v>17.98447302134069</v>
      </c>
      <c r="V176" s="186">
        <f t="shared" si="258"/>
        <v>18.296719970512363</v>
      </c>
      <c r="W176" s="186">
        <f t="shared" si="258"/>
        <v>18.608966919684036</v>
      </c>
      <c r="X176" s="186">
        <f t="shared" si="258"/>
        <v>18.921213868855709</v>
      </c>
      <c r="Y176" s="186">
        <f t="shared" si="258"/>
        <v>19.233460818027382</v>
      </c>
      <c r="Z176" s="186">
        <f t="shared" si="258"/>
        <v>19.545707767199055</v>
      </c>
      <c r="AA176" s="186">
        <f t="shared" si="258"/>
        <v>19.857954716370728</v>
      </c>
      <c r="AB176" s="186">
        <f t="shared" si="258"/>
        <v>20.1702016655424</v>
      </c>
      <c r="AC176" s="186">
        <f t="shared" si="258"/>
        <v>20.48244861471408</v>
      </c>
      <c r="AD176" s="186">
        <f t="shared" si="258"/>
        <v>20.997543934882707</v>
      </c>
      <c r="AE176" s="186">
        <f t="shared" si="258"/>
        <v>21.512639255051333</v>
      </c>
      <c r="AF176" s="186">
        <f t="shared" si="258"/>
        <v>22.027734575219959</v>
      </c>
      <c r="AG176" s="186">
        <f t="shared" si="258"/>
        <v>22.542829895388586</v>
      </c>
      <c r="AH176" s="186">
        <f t="shared" si="258"/>
        <v>23.057925215557212</v>
      </c>
      <c r="AI176" s="186">
        <f t="shared" si="258"/>
        <v>23.573020535725838</v>
      </c>
      <c r="AJ176" s="186">
        <f t="shared" si="258"/>
        <v>24.088115855894465</v>
      </c>
      <c r="AK176" s="186">
        <f t="shared" si="258"/>
        <v>24.603211176063091</v>
      </c>
      <c r="AL176" s="186">
        <f t="shared" si="258"/>
        <v>25.118306496231718</v>
      </c>
      <c r="AM176" s="186">
        <f t="shared" si="258"/>
        <v>25.633401816400347</v>
      </c>
      <c r="AN176" s="186">
        <f t="shared" si="258"/>
        <v>26.384716110139962</v>
      </c>
      <c r="AO176" s="186">
        <f t="shared" si="258"/>
        <v>33.146544753796483</v>
      </c>
      <c r="AP176" s="186">
        <f t="shared" si="258"/>
        <v>33.146544753796483</v>
      </c>
      <c r="AQ176" s="186">
        <f t="shared" si="258"/>
        <v>33.146544753796483</v>
      </c>
    </row>
    <row r="177" spans="1:57">
      <c r="A177" s="185" t="s">
        <v>16</v>
      </c>
      <c r="B177" s="22" t="str">
        <f t="shared" si="254"/>
        <v/>
      </c>
      <c r="C177" s="23" t="str">
        <f t="shared" si="255"/>
        <v/>
      </c>
      <c r="D177" s="57"/>
      <c r="E177" s="23" t="str">
        <f t="shared" si="256"/>
        <v/>
      </c>
      <c r="F177" s="23" t="str">
        <f t="shared" si="256"/>
        <v/>
      </c>
      <c r="G177" s="23" t="str">
        <f t="shared" si="256"/>
        <v/>
      </c>
      <c r="H177" s="23"/>
      <c r="I177" s="23" t="str">
        <f t="shared" si="256"/>
        <v/>
      </c>
      <c r="J177" s="133" t="str">
        <f>B77</f>
        <v>TFHCV1</v>
      </c>
      <c r="K177" s="186">
        <f>F46</f>
        <v>4.9123710000000003</v>
      </c>
      <c r="L177" s="186">
        <f t="shared" ref="L177:AQ177" si="259">IF(L$174=-1,M177,IF(L$174=99,K177,IF(L$174=0,INDEX($F46:$N46,0,L$172),(INDEX($F46:$N46,0,L$174+1)-INDEX($F46:$N46,0,L$174))/(INDEX($F$4:$N$4,0,L$174+1)-INDEX($F$4:$N$4,0,L$174))+K177)))</f>
        <v>4.9910684173255708</v>
      </c>
      <c r="M177" s="186">
        <f t="shared" si="259"/>
        <v>5.0697658346511414</v>
      </c>
      <c r="N177" s="186">
        <f t="shared" si="259"/>
        <v>5.1484632519767128</v>
      </c>
      <c r="O177" s="186">
        <f t="shared" si="259"/>
        <v>5.1912753600307688</v>
      </c>
      <c r="P177" s="186">
        <f t="shared" si="259"/>
        <v>5.2340874680848239</v>
      </c>
      <c r="Q177" s="186">
        <f t="shared" si="259"/>
        <v>5.2626642000380173</v>
      </c>
      <c r="R177" s="186">
        <f t="shared" si="259"/>
        <v>5.2912409319912115</v>
      </c>
      <c r="S177" s="186">
        <f t="shared" si="259"/>
        <v>4.9781827152301004</v>
      </c>
      <c r="T177" s="186">
        <f t="shared" si="259"/>
        <v>5.0614007615678354</v>
      </c>
      <c r="U177" s="186">
        <f t="shared" si="259"/>
        <v>5.150829616760201</v>
      </c>
      <c r="V177" s="186">
        <f t="shared" si="259"/>
        <v>5.2402584719525667</v>
      </c>
      <c r="W177" s="186">
        <f t="shared" si="259"/>
        <v>5.3296873271449323</v>
      </c>
      <c r="X177" s="186">
        <f t="shared" si="259"/>
        <v>5.419116182337298</v>
      </c>
      <c r="Y177" s="186">
        <f t="shared" si="259"/>
        <v>5.5085450375296636</v>
      </c>
      <c r="Z177" s="186">
        <f t="shared" si="259"/>
        <v>5.5979738927220293</v>
      </c>
      <c r="AA177" s="186">
        <f t="shared" si="259"/>
        <v>5.6874027479143949</v>
      </c>
      <c r="AB177" s="186">
        <f t="shared" si="259"/>
        <v>5.7768316031067606</v>
      </c>
      <c r="AC177" s="186">
        <f t="shared" si="259"/>
        <v>5.8662604582991227</v>
      </c>
      <c r="AD177" s="186">
        <f t="shared" si="259"/>
        <v>6.0137859502849507</v>
      </c>
      <c r="AE177" s="186">
        <f t="shared" si="259"/>
        <v>6.1613114422707786</v>
      </c>
      <c r="AF177" s="186">
        <f t="shared" si="259"/>
        <v>6.3088369342566066</v>
      </c>
      <c r="AG177" s="186">
        <f t="shared" si="259"/>
        <v>6.4563624262424346</v>
      </c>
      <c r="AH177" s="186">
        <f t="shared" si="259"/>
        <v>6.6038879182282626</v>
      </c>
      <c r="AI177" s="186">
        <f t="shared" si="259"/>
        <v>6.7514134102140906</v>
      </c>
      <c r="AJ177" s="186">
        <f t="shared" si="259"/>
        <v>6.8989389021999186</v>
      </c>
      <c r="AK177" s="186">
        <f t="shared" si="259"/>
        <v>7.0464643941857465</v>
      </c>
      <c r="AL177" s="186">
        <f t="shared" si="259"/>
        <v>7.1939898861715745</v>
      </c>
      <c r="AM177" s="186">
        <f t="shared" si="259"/>
        <v>7.3415153781574052</v>
      </c>
      <c r="AN177" s="186">
        <f t="shared" si="259"/>
        <v>7.5566949895420255</v>
      </c>
      <c r="AO177" s="186">
        <f t="shared" si="259"/>
        <v>9.4933114920036061</v>
      </c>
      <c r="AP177" s="186">
        <f t="shared" si="259"/>
        <v>9.4933114920036061</v>
      </c>
      <c r="AQ177" s="186">
        <f t="shared" si="259"/>
        <v>9.4933114920036061</v>
      </c>
      <c r="AZ177" s="186"/>
      <c r="BA177" s="186"/>
      <c r="BB177" s="186"/>
      <c r="BC177" s="186"/>
      <c r="BD177" s="186"/>
      <c r="BE177" s="186"/>
    </row>
    <row r="178" spans="1:57">
      <c r="A178" s="185" t="s">
        <v>16</v>
      </c>
      <c r="B178" s="22" t="str">
        <f t="shared" si="254"/>
        <v/>
      </c>
      <c r="C178" s="23" t="str">
        <f t="shared" si="255"/>
        <v/>
      </c>
      <c r="D178" s="57"/>
      <c r="E178" s="23" t="str">
        <f t="shared" si="256"/>
        <v/>
      </c>
      <c r="F178" s="23" t="str">
        <f t="shared" si="256"/>
        <v/>
      </c>
      <c r="G178" s="23" t="str">
        <f t="shared" si="256"/>
        <v/>
      </c>
      <c r="H178" s="23"/>
      <c r="I178" s="23" t="str">
        <f t="shared" si="256"/>
        <v/>
      </c>
      <c r="J178" s="133" t="str">
        <f>B78</f>
        <v>TFHCV2</v>
      </c>
      <c r="K178" s="186">
        <f>F51</f>
        <v>1.637614669131271</v>
      </c>
      <c r="L178" s="186">
        <f t="shared" ref="L178:AQ178" si="260">IF(L$174=-1,M178,IF(L$174=99,K178,IF(L$174=0,INDEX($F51:$N51,0,L$172),(INDEX($F51:$N51,0,L$174+1)-INDEX($F51:$N51,0,L$174))/(INDEX($F$4:$N$4,0,L$174+1)-INDEX($F$4:$N$4,0,L$174))+K178)))</f>
        <v>1.6638496674722147</v>
      </c>
      <c r="M178" s="186">
        <f t="shared" si="260"/>
        <v>1.6900846658131585</v>
      </c>
      <c r="N178" s="186">
        <f t="shared" si="260"/>
        <v>1.7163196641541021</v>
      </c>
      <c r="O178" s="186">
        <f t="shared" si="260"/>
        <v>1.7305917409507761</v>
      </c>
      <c r="P178" s="186">
        <f t="shared" si="260"/>
        <v>1.74486381774745</v>
      </c>
      <c r="Q178" s="186">
        <f t="shared" si="260"/>
        <v>1.7543903122736948</v>
      </c>
      <c r="R178" s="186">
        <f t="shared" si="260"/>
        <v>1.7639168067999393</v>
      </c>
      <c r="S178" s="186">
        <f t="shared" si="260"/>
        <v>1.6595540198565115</v>
      </c>
      <c r="T178" s="186">
        <f t="shared" si="260"/>
        <v>1.6872960396304906</v>
      </c>
      <c r="U178" s="186">
        <f t="shared" si="260"/>
        <v>1.7171085283669141</v>
      </c>
      <c r="V178" s="186">
        <f t="shared" si="260"/>
        <v>1.7469210171033376</v>
      </c>
      <c r="W178" s="186">
        <f t="shared" si="260"/>
        <v>1.7767335058397611</v>
      </c>
      <c r="X178" s="186">
        <f t="shared" si="260"/>
        <v>1.8065459945761846</v>
      </c>
      <c r="Y178" s="186">
        <f t="shared" si="260"/>
        <v>1.8363584833126081</v>
      </c>
      <c r="Z178" s="186">
        <f t="shared" si="260"/>
        <v>1.8661709720490316</v>
      </c>
      <c r="AA178" s="186">
        <f t="shared" si="260"/>
        <v>1.8959834607854551</v>
      </c>
      <c r="AB178" s="186">
        <f t="shared" si="260"/>
        <v>1.9257959495218786</v>
      </c>
      <c r="AC178" s="186">
        <f t="shared" si="260"/>
        <v>1.9556084382583021</v>
      </c>
      <c r="AD178" s="186">
        <f t="shared" si="260"/>
        <v>2.0047883372819713</v>
      </c>
      <c r="AE178" s="186">
        <f t="shared" si="260"/>
        <v>2.0539682363056402</v>
      </c>
      <c r="AF178" s="186">
        <f t="shared" si="260"/>
        <v>2.1031481353293091</v>
      </c>
      <c r="AG178" s="186">
        <f t="shared" si="260"/>
        <v>2.152328034352978</v>
      </c>
      <c r="AH178" s="186">
        <f t="shared" si="260"/>
        <v>2.201507933376647</v>
      </c>
      <c r="AI178" s="186">
        <f t="shared" si="260"/>
        <v>2.2506878324003159</v>
      </c>
      <c r="AJ178" s="186">
        <f t="shared" si="260"/>
        <v>2.2998677314239848</v>
      </c>
      <c r="AK178" s="186">
        <f t="shared" si="260"/>
        <v>2.3490476304476537</v>
      </c>
      <c r="AL178" s="186">
        <f t="shared" si="260"/>
        <v>2.3982275294713227</v>
      </c>
      <c r="AM178" s="186">
        <f t="shared" si="260"/>
        <v>2.4474074284949929</v>
      </c>
      <c r="AN178" s="186">
        <f t="shared" si="260"/>
        <v>2.5191408721012314</v>
      </c>
      <c r="AO178" s="186">
        <f t="shared" si="260"/>
        <v>3.1647418645573753</v>
      </c>
      <c r="AP178" s="186">
        <f t="shared" si="260"/>
        <v>3.1647418645573753</v>
      </c>
      <c r="AQ178" s="186">
        <f t="shared" si="260"/>
        <v>3.1647418645573753</v>
      </c>
      <c r="AZ178" s="186"/>
      <c r="BA178" s="186"/>
      <c r="BB178" s="186"/>
      <c r="BC178" s="186"/>
      <c r="BD178" s="186"/>
      <c r="BE178" s="186"/>
    </row>
    <row r="179" spans="1:57">
      <c r="A179" s="185" t="s">
        <v>16</v>
      </c>
      <c r="B179" s="22" t="str">
        <f t="shared" si="254"/>
        <v/>
      </c>
      <c r="C179" s="23" t="str">
        <f t="shared" si="255"/>
        <v/>
      </c>
      <c r="D179" s="57"/>
      <c r="E179" s="23" t="str">
        <f t="shared" si="256"/>
        <v/>
      </c>
      <c r="F179" s="23" t="str">
        <f t="shared" si="256"/>
        <v/>
      </c>
      <c r="G179" s="23" t="str">
        <f t="shared" si="256"/>
        <v/>
      </c>
      <c r="H179" s="23"/>
      <c r="I179" s="23" t="str">
        <f t="shared" si="256"/>
        <v/>
      </c>
      <c r="J179" s="133" t="str">
        <f>B79</f>
        <v>TFHCV3</v>
      </c>
      <c r="K179" s="186">
        <f>F52</f>
        <v>13.576270721867905</v>
      </c>
      <c r="L179" s="186">
        <f t="shared" ref="L179:AQ179" si="261">IF(L$174=-1,M179,IF(L$174=99,K179,IF(L$174=0,INDEX($F52:$N52,0,L$172),(INDEX($F52:$N52,0,L$174+1)-INDEX($F52:$N52,0,L$174))/(INDEX($F$4:$N$4,0,L$174+1)-INDEX($F$4:$N$4,0,L$174))+K179)))</f>
        <v>13.793765988964743</v>
      </c>
      <c r="M179" s="186">
        <f t="shared" si="261"/>
        <v>14.011261256061582</v>
      </c>
      <c r="N179" s="186">
        <f t="shared" si="261"/>
        <v>14.22875652315842</v>
      </c>
      <c r="O179" s="186">
        <f t="shared" si="261"/>
        <v>14.347075919050081</v>
      </c>
      <c r="P179" s="186">
        <f t="shared" si="261"/>
        <v>14.465395314941743</v>
      </c>
      <c r="Q179" s="186">
        <f t="shared" si="261"/>
        <v>14.544372543930111</v>
      </c>
      <c r="R179" s="186">
        <f t="shared" si="261"/>
        <v>14.623349772918479</v>
      </c>
      <c r="S179" s="186">
        <f t="shared" si="261"/>
        <v>13.758153902644418</v>
      </c>
      <c r="T179" s="186">
        <f t="shared" si="261"/>
        <v>13.988142787039763</v>
      </c>
      <c r="U179" s="186">
        <f t="shared" si="261"/>
        <v>14.235296421901273</v>
      </c>
      <c r="V179" s="186">
        <f t="shared" si="261"/>
        <v>14.482450056762783</v>
      </c>
      <c r="W179" s="186">
        <f t="shared" si="261"/>
        <v>14.729603691624293</v>
      </c>
      <c r="X179" s="186">
        <f t="shared" si="261"/>
        <v>14.976757326485803</v>
      </c>
      <c r="Y179" s="186">
        <f t="shared" si="261"/>
        <v>15.223910961347313</v>
      </c>
      <c r="Z179" s="186">
        <f t="shared" si="261"/>
        <v>15.471064596208823</v>
      </c>
      <c r="AA179" s="186">
        <f t="shared" si="261"/>
        <v>15.718218231070333</v>
      </c>
      <c r="AB179" s="186">
        <f t="shared" si="261"/>
        <v>15.965371865931843</v>
      </c>
      <c r="AC179" s="186">
        <f t="shared" si="261"/>
        <v>16.212525500793355</v>
      </c>
      <c r="AD179" s="186">
        <f t="shared" si="261"/>
        <v>16.620240231129554</v>
      </c>
      <c r="AE179" s="186">
        <f t="shared" si="261"/>
        <v>17.027954961465753</v>
      </c>
      <c r="AF179" s="186">
        <f t="shared" si="261"/>
        <v>17.435669691801952</v>
      </c>
      <c r="AG179" s="186">
        <f t="shared" si="261"/>
        <v>17.843384422138151</v>
      </c>
      <c r="AH179" s="186">
        <f t="shared" si="261"/>
        <v>18.25109915247435</v>
      </c>
      <c r="AI179" s="186">
        <f t="shared" si="261"/>
        <v>18.658813882810549</v>
      </c>
      <c r="AJ179" s="186">
        <f t="shared" si="261"/>
        <v>19.066528613146748</v>
      </c>
      <c r="AK179" s="186">
        <f t="shared" si="261"/>
        <v>19.474243343482946</v>
      </c>
      <c r="AL179" s="186">
        <f t="shared" si="261"/>
        <v>19.881958073819145</v>
      </c>
      <c r="AM179" s="186">
        <f t="shared" si="261"/>
        <v>20.289672804155337</v>
      </c>
      <c r="AN179" s="186">
        <f t="shared" si="261"/>
        <v>20.88436254928736</v>
      </c>
      <c r="AO179" s="186">
        <f t="shared" si="261"/>
        <v>26.236570255475549</v>
      </c>
      <c r="AP179" s="186">
        <f t="shared" si="261"/>
        <v>26.236570255475549</v>
      </c>
      <c r="AQ179" s="186">
        <f t="shared" si="261"/>
        <v>26.236570255475549</v>
      </c>
      <c r="AZ179" s="186"/>
      <c r="BA179" s="186"/>
      <c r="BB179" s="186"/>
      <c r="BC179" s="186"/>
      <c r="BD179" s="186"/>
      <c r="BE179" s="186"/>
    </row>
    <row r="180" spans="1:57">
      <c r="A180" s="185" t="s">
        <v>16</v>
      </c>
      <c r="B180" s="22" t="str">
        <f t="shared" si="254"/>
        <v/>
      </c>
      <c r="C180" s="23" t="str">
        <f t="shared" si="255"/>
        <v/>
      </c>
      <c r="D180" s="57"/>
      <c r="E180" s="23" t="str">
        <f t="shared" si="256"/>
        <v/>
      </c>
      <c r="F180" s="23" t="str">
        <f t="shared" si="256"/>
        <v/>
      </c>
      <c r="G180" s="23" t="str">
        <f t="shared" si="256"/>
        <v/>
      </c>
      <c r="H180" s="23"/>
      <c r="I180" s="23" t="str">
        <f t="shared" si="256"/>
        <v/>
      </c>
      <c r="J180" s="133" t="str">
        <f>B80</f>
        <v>TFHCV4</v>
      </c>
      <c r="K180" s="186">
        <f>F53</f>
        <v>4.515932780515814</v>
      </c>
      <c r="L180" s="186">
        <f t="shared" ref="L180:AQ180" si="262">IF(L$174=-1,M180,IF(L$174=99,K180,IF(L$174=0,INDEX($F53:$N53,0,L$172),(INDEX($F53:$N53,0,L$174+1)-INDEX($F53:$N53,0,L$174))/(INDEX($F$4:$N$4,0,L$174+1)-INDEX($F$4:$N$4,0,L$174))+K180)))</f>
        <v>4.5882791579865865</v>
      </c>
      <c r="M180" s="186">
        <f t="shared" si="262"/>
        <v>4.6606255354573589</v>
      </c>
      <c r="N180" s="186">
        <f t="shared" si="262"/>
        <v>4.7329719129281322</v>
      </c>
      <c r="O180" s="186">
        <f t="shared" si="262"/>
        <v>4.7723289977583079</v>
      </c>
      <c r="P180" s="186">
        <f t="shared" si="262"/>
        <v>4.8116860825884835</v>
      </c>
      <c r="Q180" s="186">
        <f t="shared" si="262"/>
        <v>4.8379566147993938</v>
      </c>
      <c r="R180" s="186">
        <f t="shared" si="262"/>
        <v>4.864227147010304</v>
      </c>
      <c r="S180" s="186">
        <f t="shared" si="262"/>
        <v>4.5764333579660059</v>
      </c>
      <c r="T180" s="186">
        <f t="shared" si="262"/>
        <v>4.6529355405957507</v>
      </c>
      <c r="U180" s="186">
        <f t="shared" si="262"/>
        <v>4.7351473073143486</v>
      </c>
      <c r="V180" s="186">
        <f t="shared" si="262"/>
        <v>4.8173590740329466</v>
      </c>
      <c r="W180" s="186">
        <f t="shared" si="262"/>
        <v>4.8995708407515446</v>
      </c>
      <c r="X180" s="186">
        <f t="shared" si="262"/>
        <v>4.9817826074701426</v>
      </c>
      <c r="Y180" s="186">
        <f t="shared" si="262"/>
        <v>5.0639943741887405</v>
      </c>
      <c r="Z180" s="186">
        <f t="shared" si="262"/>
        <v>5.1462061409073385</v>
      </c>
      <c r="AA180" s="186">
        <f t="shared" si="262"/>
        <v>5.2284179076259365</v>
      </c>
      <c r="AB180" s="186">
        <f t="shared" si="262"/>
        <v>5.3106296743445345</v>
      </c>
      <c r="AC180" s="186">
        <f t="shared" si="262"/>
        <v>5.3928414410631289</v>
      </c>
      <c r="AD180" s="186">
        <f t="shared" si="262"/>
        <v>5.5284613291417219</v>
      </c>
      <c r="AE180" s="186">
        <f t="shared" si="262"/>
        <v>5.664081217220315</v>
      </c>
      <c r="AF180" s="186">
        <f t="shared" si="262"/>
        <v>5.799701105298908</v>
      </c>
      <c r="AG180" s="186">
        <f t="shared" si="262"/>
        <v>5.9353209933775011</v>
      </c>
      <c r="AH180" s="186">
        <f t="shared" si="262"/>
        <v>6.0709408814560941</v>
      </c>
      <c r="AI180" s="186">
        <f t="shared" si="262"/>
        <v>6.2065607695346872</v>
      </c>
      <c r="AJ180" s="186">
        <f t="shared" si="262"/>
        <v>6.3421806576132802</v>
      </c>
      <c r="AK180" s="186">
        <f t="shared" si="262"/>
        <v>6.4778005456918732</v>
      </c>
      <c r="AL180" s="186">
        <f t="shared" si="262"/>
        <v>6.6134204337704663</v>
      </c>
      <c r="AM180" s="186">
        <f t="shared" si="262"/>
        <v>6.7490403218490576</v>
      </c>
      <c r="AN180" s="186">
        <f t="shared" si="262"/>
        <v>6.9468545058246693</v>
      </c>
      <c r="AO180" s="186">
        <f t="shared" si="262"/>
        <v>8.7271821616051746</v>
      </c>
      <c r="AP180" s="186">
        <f t="shared" si="262"/>
        <v>8.7271821616051746</v>
      </c>
      <c r="AQ180" s="186">
        <f t="shared" si="262"/>
        <v>8.7271821616051746</v>
      </c>
      <c r="AZ180" s="186"/>
      <c r="BA180" s="186"/>
      <c r="BB180" s="186"/>
      <c r="BC180" s="186"/>
      <c r="BD180" s="186"/>
      <c r="BE180" s="186"/>
    </row>
    <row r="181" spans="1:57">
      <c r="A181" s="185" t="s">
        <v>16</v>
      </c>
      <c r="B181" s="22" t="str">
        <f t="shared" si="254"/>
        <v/>
      </c>
      <c r="C181" s="23" t="str">
        <f t="shared" si="255"/>
        <v/>
      </c>
      <c r="D181" s="57"/>
      <c r="E181" s="23" t="str">
        <f t="shared" si="256"/>
        <v/>
      </c>
      <c r="F181" s="23" t="str">
        <f t="shared" si="256"/>
        <v/>
      </c>
      <c r="G181" s="23" t="str">
        <f t="shared" si="256"/>
        <v/>
      </c>
      <c r="H181" s="23"/>
      <c r="I181" s="23" t="str">
        <f t="shared" si="256"/>
        <v/>
      </c>
      <c r="J181" s="133" t="str">
        <f>B81</f>
        <v>TFHCV5</v>
      </c>
      <c r="K181" s="186">
        <f>F54</f>
        <v>2.9750185434856067</v>
      </c>
      <c r="L181" s="186">
        <f t="shared" ref="L181:AQ181" si="263">IF(L$174=-1,M181,IF(L$174=99,K181,IF(L$174=0,INDEX($F54:$N54,0,L$172),(INDEX($F54:$N54,0,L$174+1)-INDEX($F54:$N54,0,L$174))/(INDEX($F$4:$N$4,0,L$174+1)-INDEX($F$4:$N$4,0,L$174))+K181)))</f>
        <v>3.0226790878272287</v>
      </c>
      <c r="M181" s="186">
        <f t="shared" si="263"/>
        <v>3.0703396321688508</v>
      </c>
      <c r="N181" s="186">
        <f t="shared" si="263"/>
        <v>3.1180001765104728</v>
      </c>
      <c r="O181" s="186">
        <f t="shared" si="263"/>
        <v>3.1439279444552239</v>
      </c>
      <c r="P181" s="186">
        <f t="shared" si="263"/>
        <v>3.1698557123999747</v>
      </c>
      <c r="Q181" s="186">
        <f t="shared" si="263"/>
        <v>3.1871622854322172</v>
      </c>
      <c r="R181" s="186">
        <f t="shared" si="263"/>
        <v>3.2044688584644594</v>
      </c>
      <c r="S181" s="186">
        <f t="shared" si="263"/>
        <v>3.0148752793038378</v>
      </c>
      <c r="T181" s="186">
        <f t="shared" si="263"/>
        <v>3.0652735963298534</v>
      </c>
      <c r="U181" s="186">
        <f t="shared" si="263"/>
        <v>3.1194332887716447</v>
      </c>
      <c r="V181" s="186">
        <f t="shared" si="263"/>
        <v>3.173592981213436</v>
      </c>
      <c r="W181" s="186">
        <f t="shared" si="263"/>
        <v>3.2277526736552273</v>
      </c>
      <c r="X181" s="186">
        <f t="shared" si="263"/>
        <v>3.2819123660970186</v>
      </c>
      <c r="Y181" s="186">
        <f t="shared" si="263"/>
        <v>3.3360720585388099</v>
      </c>
      <c r="Z181" s="186">
        <f t="shared" si="263"/>
        <v>3.3902317509806013</v>
      </c>
      <c r="AA181" s="186">
        <f t="shared" si="263"/>
        <v>3.4443914434223926</v>
      </c>
      <c r="AB181" s="186">
        <f t="shared" si="263"/>
        <v>3.4985511358641839</v>
      </c>
      <c r="AC181" s="186">
        <f t="shared" si="263"/>
        <v>3.552710828305977</v>
      </c>
      <c r="AD181" s="186">
        <f t="shared" si="263"/>
        <v>3.6420548689524748</v>
      </c>
      <c r="AE181" s="186">
        <f t="shared" si="263"/>
        <v>3.7313989095989726</v>
      </c>
      <c r="AF181" s="186">
        <f t="shared" si="263"/>
        <v>3.8207429502454704</v>
      </c>
      <c r="AG181" s="186">
        <f t="shared" si="263"/>
        <v>3.9100869908919682</v>
      </c>
      <c r="AH181" s="186">
        <f t="shared" si="263"/>
        <v>3.999431031538466</v>
      </c>
      <c r="AI181" s="186">
        <f t="shared" si="263"/>
        <v>4.0887750721849638</v>
      </c>
      <c r="AJ181" s="186">
        <f t="shared" si="263"/>
        <v>4.1781191128314612</v>
      </c>
      <c r="AK181" s="186">
        <f t="shared" si="263"/>
        <v>4.2674631534779586</v>
      </c>
      <c r="AL181" s="186">
        <f t="shared" si="263"/>
        <v>4.3568071941244559</v>
      </c>
      <c r="AM181" s="186">
        <f t="shared" si="263"/>
        <v>4.4461512347709542</v>
      </c>
      <c r="AN181" s="186">
        <f t="shared" si="263"/>
        <v>4.5764678037046265</v>
      </c>
      <c r="AO181" s="186">
        <f t="shared" si="263"/>
        <v>5.7493169241076743</v>
      </c>
      <c r="AP181" s="186">
        <f t="shared" si="263"/>
        <v>5.7493169241076743</v>
      </c>
      <c r="AQ181" s="186">
        <f t="shared" si="263"/>
        <v>5.7493169241076743</v>
      </c>
      <c r="AZ181" s="186"/>
      <c r="BA181" s="186"/>
      <c r="BB181" s="186"/>
      <c r="BC181" s="186"/>
      <c r="BD181" s="186"/>
      <c r="BE181" s="186"/>
    </row>
    <row r="182" spans="1:57">
      <c r="A182" s="185" t="s">
        <v>16</v>
      </c>
      <c r="B182" s="22" t="str">
        <f t="shared" si="254"/>
        <v/>
      </c>
      <c r="C182" s="23" t="str">
        <f t="shared" si="255"/>
        <v/>
      </c>
      <c r="D182" s="57"/>
      <c r="E182" s="23" t="str">
        <f t="shared" si="256"/>
        <v/>
      </c>
      <c r="F182" s="23" t="str">
        <f t="shared" si="256"/>
        <v/>
      </c>
      <c r="G182" s="23" t="str">
        <f t="shared" si="256"/>
        <v/>
      </c>
      <c r="H182" s="23"/>
      <c r="I182" s="23" t="str">
        <f t="shared" si="256"/>
        <v/>
      </c>
      <c r="J182" s="133" t="str">
        <f>B82</f>
        <v>TFHCV6</v>
      </c>
      <c r="K182" s="186">
        <f>F55</f>
        <v>98.309314568087203</v>
      </c>
      <c r="L182" s="186">
        <f t="shared" ref="L182:AQ182" si="264">IF(L$174=-1,M182,IF(L$174=99,K182,IF(L$174=0,INDEX($F55:$N55,0,L$172),(INDEX($F55:$N55,0,L$174+1)-INDEX($F55:$N55,0,L$174))/(INDEX($F$4:$N$4,0,L$174+1)-INDEX($F$4:$N$4,0,L$174))+K182)))</f>
        <v>99.884254481126248</v>
      </c>
      <c r="M182" s="186">
        <f t="shared" si="264"/>
        <v>101.45919439416529</v>
      </c>
      <c r="N182" s="186">
        <f t="shared" si="264"/>
        <v>103.03413430720434</v>
      </c>
      <c r="O182" s="186">
        <f t="shared" si="264"/>
        <v>103.89091588946047</v>
      </c>
      <c r="P182" s="186">
        <f t="shared" si="264"/>
        <v>104.74769747171659</v>
      </c>
      <c r="Q182" s="186">
        <f t="shared" si="264"/>
        <v>105.31959217000271</v>
      </c>
      <c r="R182" s="186">
        <f t="shared" si="264"/>
        <v>105.89148686828882</v>
      </c>
      <c r="S182" s="186">
        <f t="shared" si="264"/>
        <v>99.626378082797544</v>
      </c>
      <c r="T182" s="186">
        <f t="shared" si="264"/>
        <v>101.29178753480312</v>
      </c>
      <c r="U182" s="186">
        <f t="shared" si="264"/>
        <v>103.081491418441</v>
      </c>
      <c r="V182" s="186">
        <f t="shared" si="264"/>
        <v>104.87119530207889</v>
      </c>
      <c r="W182" s="186">
        <f t="shared" si="264"/>
        <v>106.66089918571677</v>
      </c>
      <c r="X182" s="186">
        <f t="shared" si="264"/>
        <v>108.45060306935466</v>
      </c>
      <c r="Y182" s="186">
        <f t="shared" si="264"/>
        <v>110.24030695299254</v>
      </c>
      <c r="Z182" s="186">
        <f t="shared" si="264"/>
        <v>112.03001083663042</v>
      </c>
      <c r="AA182" s="186">
        <f t="shared" si="264"/>
        <v>113.81971472026831</v>
      </c>
      <c r="AB182" s="186">
        <f t="shared" si="264"/>
        <v>115.60941860390619</v>
      </c>
      <c r="AC182" s="186">
        <f t="shared" si="264"/>
        <v>117.39912248754413</v>
      </c>
      <c r="AD182" s="186">
        <f t="shared" si="264"/>
        <v>120.35149110922329</v>
      </c>
      <c r="AE182" s="186">
        <f t="shared" si="264"/>
        <v>123.30385973090245</v>
      </c>
      <c r="AF182" s="186">
        <f t="shared" si="264"/>
        <v>126.2562283525816</v>
      </c>
      <c r="AG182" s="186">
        <f t="shared" si="264"/>
        <v>129.20859697426076</v>
      </c>
      <c r="AH182" s="186">
        <f t="shared" si="264"/>
        <v>132.1609655959399</v>
      </c>
      <c r="AI182" s="186">
        <f t="shared" si="264"/>
        <v>135.11333421761904</v>
      </c>
      <c r="AJ182" s="186">
        <f t="shared" si="264"/>
        <v>138.06570283929818</v>
      </c>
      <c r="AK182" s="186">
        <f t="shared" si="264"/>
        <v>141.01807146097732</v>
      </c>
      <c r="AL182" s="186">
        <f t="shared" si="264"/>
        <v>143.97044008265647</v>
      </c>
      <c r="AM182" s="186">
        <f t="shared" si="264"/>
        <v>146.92280870433564</v>
      </c>
      <c r="AN182" s="186">
        <f t="shared" si="264"/>
        <v>151.2291121379015</v>
      </c>
      <c r="AO182" s="186">
        <f t="shared" si="264"/>
        <v>189.98584303999428</v>
      </c>
      <c r="AP182" s="186">
        <f t="shared" si="264"/>
        <v>189.98584303999428</v>
      </c>
      <c r="AQ182" s="186">
        <f t="shared" si="264"/>
        <v>189.98584303999428</v>
      </c>
      <c r="AZ182" s="186"/>
      <c r="BA182" s="186"/>
      <c r="BB182" s="186"/>
      <c r="BC182" s="186"/>
      <c r="BD182" s="186"/>
      <c r="BE182" s="186"/>
    </row>
    <row r="183" spans="1:57">
      <c r="A183" s="185" t="s">
        <v>16</v>
      </c>
      <c r="B183" s="22" t="str">
        <f t="shared" si="254"/>
        <v/>
      </c>
      <c r="C183" s="23" t="str">
        <f t="shared" si="255"/>
        <v/>
      </c>
      <c r="D183" s="57"/>
      <c r="E183" s="23" t="str">
        <f t="shared" si="256"/>
        <v/>
      </c>
      <c r="F183" s="23" t="str">
        <f t="shared" si="256"/>
        <v/>
      </c>
      <c r="G183" s="23" t="str">
        <f t="shared" si="256"/>
        <v/>
      </c>
      <c r="H183" s="23"/>
      <c r="I183" s="23" t="str">
        <f t="shared" si="256"/>
        <v/>
      </c>
      <c r="J183" s="133" t="str">
        <f>B83</f>
        <v>TFHCV7</v>
      </c>
      <c r="K183" s="186">
        <f>F56</f>
        <v>28.003212301240232</v>
      </c>
      <c r="L183" s="186">
        <f t="shared" ref="L183:AQ183" si="265">IF(L$174=-1,M183,IF(L$174=99,K183,IF(L$174=0,INDEX($F56:$N56,0,L$172),(INDEX($F56:$N56,0,L$174+1)-INDEX($F56:$N56,0,L$174))/(INDEX($F$4:$N$4,0,L$174+1)-INDEX($F$4:$N$4,0,L$174))+K183)))</f>
        <v>28.451830796245446</v>
      </c>
      <c r="M183" s="186">
        <f t="shared" si="265"/>
        <v>28.900449291250659</v>
      </c>
      <c r="N183" s="186">
        <f t="shared" si="265"/>
        <v>29.349067786255869</v>
      </c>
      <c r="O183" s="186">
        <f t="shared" si="265"/>
        <v>29.593120312195246</v>
      </c>
      <c r="P183" s="186">
        <f t="shared" si="265"/>
        <v>29.837172838134627</v>
      </c>
      <c r="Q183" s="186">
        <f t="shared" si="265"/>
        <v>30.000075903021404</v>
      </c>
      <c r="R183" s="186">
        <f t="shared" si="265"/>
        <v>30.162978967908185</v>
      </c>
      <c r="S183" s="186">
        <f t="shared" si="265"/>
        <v>28.378375218189547</v>
      </c>
      <c r="T183" s="186">
        <f t="shared" si="265"/>
        <v>28.852763781042402</v>
      </c>
      <c r="U183" s="186">
        <f t="shared" si="265"/>
        <v>29.362557364997823</v>
      </c>
      <c r="V183" s="186">
        <f t="shared" si="265"/>
        <v>29.872350948953244</v>
      </c>
      <c r="W183" s="186">
        <f t="shared" si="265"/>
        <v>30.382144532908665</v>
      </c>
      <c r="X183" s="186">
        <f t="shared" si="265"/>
        <v>30.891938116864086</v>
      </c>
      <c r="Y183" s="186">
        <f t="shared" si="265"/>
        <v>31.401731700819507</v>
      </c>
      <c r="Z183" s="186">
        <f t="shared" si="265"/>
        <v>31.911525284774928</v>
      </c>
      <c r="AA183" s="186">
        <f t="shared" si="265"/>
        <v>32.421318868730346</v>
      </c>
      <c r="AB183" s="186">
        <f t="shared" si="265"/>
        <v>32.931112452685767</v>
      </c>
      <c r="AC183" s="186">
        <f t="shared" si="265"/>
        <v>33.440906036641188</v>
      </c>
      <c r="AD183" s="186">
        <f t="shared" si="265"/>
        <v>34.281882353764644</v>
      </c>
      <c r="AE183" s="186">
        <f t="shared" si="265"/>
        <v>35.1228586708881</v>
      </c>
      <c r="AF183" s="186">
        <f t="shared" si="265"/>
        <v>35.963834988011556</v>
      </c>
      <c r="AG183" s="186">
        <f t="shared" si="265"/>
        <v>36.804811305135011</v>
      </c>
      <c r="AH183" s="186">
        <f t="shared" si="265"/>
        <v>37.645787622258467</v>
      </c>
      <c r="AI183" s="186">
        <f t="shared" si="265"/>
        <v>38.486763939381923</v>
      </c>
      <c r="AJ183" s="186">
        <f t="shared" si="265"/>
        <v>39.327740256505379</v>
      </c>
      <c r="AK183" s="186">
        <f t="shared" si="265"/>
        <v>40.168716573628835</v>
      </c>
      <c r="AL183" s="186">
        <f t="shared" si="265"/>
        <v>41.009692890752291</v>
      </c>
      <c r="AM183" s="186">
        <f t="shared" si="265"/>
        <v>41.85066920787574</v>
      </c>
      <c r="AN183" s="186">
        <f t="shared" si="265"/>
        <v>43.077311157456073</v>
      </c>
      <c r="AO183" s="186">
        <f t="shared" si="265"/>
        <v>54.117088703679066</v>
      </c>
      <c r="AP183" s="186">
        <f t="shared" si="265"/>
        <v>54.117088703679066</v>
      </c>
      <c r="AQ183" s="186">
        <f t="shared" si="265"/>
        <v>54.117088703679066</v>
      </c>
      <c r="AZ183" s="186"/>
      <c r="BA183" s="186"/>
      <c r="BB183" s="186"/>
      <c r="BC183" s="186"/>
      <c r="BD183" s="186"/>
      <c r="BE183" s="186"/>
    </row>
    <row r="184" spans="1:57">
      <c r="A184" s="185" t="s">
        <v>16</v>
      </c>
      <c r="B184" s="22" t="str">
        <f t="shared" si="254"/>
        <v/>
      </c>
      <c r="C184" s="23" t="str">
        <f t="shared" si="255"/>
        <v/>
      </c>
      <c r="D184" s="57"/>
      <c r="E184" s="23" t="str">
        <f t="shared" si="256"/>
        <v/>
      </c>
      <c r="F184" s="23" t="str">
        <f t="shared" si="256"/>
        <v/>
      </c>
      <c r="G184" s="23" t="str">
        <f t="shared" si="256"/>
        <v/>
      </c>
      <c r="H184" s="23"/>
      <c r="I184" s="23" t="str">
        <f t="shared" si="256"/>
        <v/>
      </c>
      <c r="J184" s="133" t="str">
        <f>B84</f>
        <v>TFHCV8</v>
      </c>
      <c r="K184" s="186">
        <f>F57</f>
        <v>1.0763192990282064</v>
      </c>
      <c r="L184" s="186">
        <f t="shared" ref="L184:AQ184" si="266">IF(L$174=-1,M184,IF(L$174=99,K184,IF(L$174=0,INDEX($F57:$N57,0,L$172),(INDEX($F57:$N57,0,L$174+1)-INDEX($F57:$N57,0,L$174))/(INDEX($F$4:$N$4,0,L$174+1)-INDEX($F$4:$N$4,0,L$174))+K184)))</f>
        <v>1.0935622045520743</v>
      </c>
      <c r="M184" s="186">
        <f t="shared" si="266"/>
        <v>1.1108051100759422</v>
      </c>
      <c r="N184" s="186">
        <f t="shared" si="266"/>
        <v>1.12804801559981</v>
      </c>
      <c r="O184" s="186">
        <f t="shared" si="266"/>
        <v>1.1374283124321667</v>
      </c>
      <c r="P184" s="186">
        <f t="shared" si="266"/>
        <v>1.1468086092645235</v>
      </c>
      <c r="Q184" s="186">
        <f t="shared" si="266"/>
        <v>1.1530698806759008</v>
      </c>
      <c r="R184" s="186">
        <f t="shared" si="266"/>
        <v>1.159331152087278</v>
      </c>
      <c r="S184" s="186">
        <f t="shared" si="266"/>
        <v>1.0907388978745283</v>
      </c>
      <c r="T184" s="186">
        <f t="shared" si="266"/>
        <v>1.1089722905276336</v>
      </c>
      <c r="U184" s="186">
        <f t="shared" si="266"/>
        <v>1.1285664951863497</v>
      </c>
      <c r="V184" s="186">
        <f t="shared" si="266"/>
        <v>1.1481606998450657</v>
      </c>
      <c r="W184" s="186">
        <f t="shared" si="266"/>
        <v>1.1677549045037818</v>
      </c>
      <c r="X184" s="186">
        <f t="shared" si="266"/>
        <v>1.1873491091624979</v>
      </c>
      <c r="Y184" s="186">
        <f t="shared" si="266"/>
        <v>1.206943313821214</v>
      </c>
      <c r="Z184" s="186">
        <f t="shared" si="266"/>
        <v>1.2265375184799301</v>
      </c>
      <c r="AA184" s="186">
        <f t="shared" si="266"/>
        <v>1.2461317231386462</v>
      </c>
      <c r="AB184" s="186">
        <f t="shared" si="266"/>
        <v>1.2657259277973623</v>
      </c>
      <c r="AC184" s="186">
        <f t="shared" si="266"/>
        <v>1.2853201324560779</v>
      </c>
      <c r="AD184" s="186">
        <f t="shared" si="266"/>
        <v>1.3176435327291798</v>
      </c>
      <c r="AE184" s="186">
        <f t="shared" si="266"/>
        <v>1.3499669330022817</v>
      </c>
      <c r="AF184" s="186">
        <f t="shared" si="266"/>
        <v>1.3822903332753835</v>
      </c>
      <c r="AG184" s="186">
        <f t="shared" si="266"/>
        <v>1.4146137335484854</v>
      </c>
      <c r="AH184" s="186">
        <f t="shared" si="266"/>
        <v>1.4469371338215873</v>
      </c>
      <c r="AI184" s="186">
        <f t="shared" si="266"/>
        <v>1.4792605340946892</v>
      </c>
      <c r="AJ184" s="186">
        <f t="shared" si="266"/>
        <v>1.511583934367791</v>
      </c>
      <c r="AK184" s="186">
        <f t="shared" si="266"/>
        <v>1.5439073346408929</v>
      </c>
      <c r="AL184" s="186">
        <f t="shared" si="266"/>
        <v>1.5762307349139948</v>
      </c>
      <c r="AM184" s="186">
        <f t="shared" si="266"/>
        <v>1.6085541351870973</v>
      </c>
      <c r="AN184" s="186">
        <f t="shared" si="266"/>
        <v>1.6557008121157446</v>
      </c>
      <c r="AO184" s="186">
        <f t="shared" si="266"/>
        <v>2.0800209044735705</v>
      </c>
      <c r="AP184" s="186">
        <f t="shared" si="266"/>
        <v>2.0800209044735705</v>
      </c>
      <c r="AQ184" s="186">
        <f t="shared" si="266"/>
        <v>2.0800209044735705</v>
      </c>
      <c r="AZ184" s="186"/>
      <c r="BA184" s="186"/>
      <c r="BB184" s="186"/>
      <c r="BC184" s="186"/>
      <c r="BD184" s="186"/>
      <c r="BE184" s="186"/>
    </row>
    <row r="185" spans="1:57">
      <c r="A185" s="185" t="s">
        <v>16</v>
      </c>
      <c r="B185" s="22"/>
      <c r="C185" s="23"/>
      <c r="D185" s="57"/>
      <c r="E185" s="23"/>
      <c r="F185" s="23"/>
      <c r="G185" s="23"/>
      <c r="H185" s="23"/>
      <c r="I185" s="23"/>
      <c r="J185" s="133" t="str">
        <f>B85</f>
        <v>TFHCV9</v>
      </c>
      <c r="K185" s="186">
        <f>F58</f>
        <v>0.87560973396075781</v>
      </c>
      <c r="L185" s="186">
        <f t="shared" ref="L185:AQ185" si="267">IF(L$174=-1,M185,IF(L$174=99,K185,IF(L$174=0,INDEX($F58:$N58,0,L$172),(INDEX($F58:$N58,0,L$174+1)-INDEX($F58:$N58,0,L$174))/(INDEX($F$4:$N$4,0,L$174+1)-INDEX($F$4:$N$4,0,L$174))+K185)))</f>
        <v>0.88963722183735383</v>
      </c>
      <c r="M185" s="186">
        <f t="shared" si="267"/>
        <v>0.90366470971394985</v>
      </c>
      <c r="N185" s="186">
        <f t="shared" si="267"/>
        <v>0.91769219759054577</v>
      </c>
      <c r="O185" s="186">
        <f t="shared" si="267"/>
        <v>0.92532327808986281</v>
      </c>
      <c r="P185" s="186">
        <f t="shared" si="267"/>
        <v>0.93295435858917986</v>
      </c>
      <c r="Q185" s="186">
        <f t="shared" si="267"/>
        <v>0.93804804240561068</v>
      </c>
      <c r="R185" s="186">
        <f t="shared" si="267"/>
        <v>0.94314172622204151</v>
      </c>
      <c r="S185" s="186">
        <f t="shared" si="267"/>
        <v>0.88734039894191019</v>
      </c>
      <c r="T185" s="186">
        <f t="shared" si="267"/>
        <v>0.90217367016969785</v>
      </c>
      <c r="U185" s="186">
        <f t="shared" si="267"/>
        <v>0.91811399228775492</v>
      </c>
      <c r="V185" s="186">
        <f t="shared" si="267"/>
        <v>0.93405431440581199</v>
      </c>
      <c r="W185" s="186">
        <f t="shared" si="267"/>
        <v>0.94999463652386906</v>
      </c>
      <c r="X185" s="186">
        <f t="shared" si="267"/>
        <v>0.96593495864192613</v>
      </c>
      <c r="Y185" s="186">
        <f t="shared" si="267"/>
        <v>0.9818752807599832</v>
      </c>
      <c r="Z185" s="186">
        <f t="shared" si="267"/>
        <v>0.99781560287804028</v>
      </c>
      <c r="AA185" s="186">
        <f t="shared" si="267"/>
        <v>1.0137559249960972</v>
      </c>
      <c r="AB185" s="186">
        <f t="shared" si="267"/>
        <v>1.0296962471141542</v>
      </c>
      <c r="AC185" s="186">
        <f t="shared" si="267"/>
        <v>1.0456365692322114</v>
      </c>
      <c r="AD185" s="186">
        <f t="shared" si="267"/>
        <v>1.0719323756340775</v>
      </c>
      <c r="AE185" s="186">
        <f t="shared" si="267"/>
        <v>1.0982281820359436</v>
      </c>
      <c r="AF185" s="186">
        <f t="shared" si="267"/>
        <v>1.1245239884378098</v>
      </c>
      <c r="AG185" s="186">
        <f t="shared" si="267"/>
        <v>1.1508197948396759</v>
      </c>
      <c r="AH185" s="186">
        <f t="shared" si="267"/>
        <v>1.177115601241542</v>
      </c>
      <c r="AI185" s="186">
        <f t="shared" si="267"/>
        <v>1.2034114076434081</v>
      </c>
      <c r="AJ185" s="186">
        <f t="shared" si="267"/>
        <v>1.2297072140452743</v>
      </c>
      <c r="AK185" s="186">
        <f t="shared" si="267"/>
        <v>1.2560030204471404</v>
      </c>
      <c r="AL185" s="186">
        <f t="shared" si="267"/>
        <v>1.2822988268490065</v>
      </c>
      <c r="AM185" s="186">
        <f t="shared" si="267"/>
        <v>1.3085946332508718</v>
      </c>
      <c r="AN185" s="186">
        <f t="shared" si="267"/>
        <v>1.3469495055270631</v>
      </c>
      <c r="AO185" s="186">
        <f t="shared" si="267"/>
        <v>1.6921433560127854</v>
      </c>
      <c r="AP185" s="186">
        <f t="shared" si="267"/>
        <v>1.6921433560127854</v>
      </c>
      <c r="AQ185" s="186">
        <f t="shared" si="267"/>
        <v>1.6921433560127854</v>
      </c>
      <c r="AZ185" s="186"/>
      <c r="BA185" s="186"/>
      <c r="BB185" s="186"/>
      <c r="BC185" s="186"/>
      <c r="BD185" s="186"/>
      <c r="BE185" s="186"/>
    </row>
    <row r="186" spans="1:57">
      <c r="A186" s="185" t="s">
        <v>16</v>
      </c>
      <c r="B186" s="22"/>
      <c r="C186" s="23"/>
      <c r="D186" s="57"/>
      <c r="E186" s="23"/>
      <c r="F186" s="23"/>
      <c r="G186" s="23"/>
      <c r="H186" s="23"/>
      <c r="I186" s="23"/>
      <c r="J186" s="133" t="str">
        <f>B86</f>
        <v>TFRCO</v>
      </c>
      <c r="K186" s="186">
        <f t="shared" ref="K186:AQ186" si="268">J147</f>
        <v>22</v>
      </c>
      <c r="L186" s="186">
        <f t="shared" si="268"/>
        <v>22.352445526032646</v>
      </c>
      <c r="M186" s="186">
        <f t="shared" si="268"/>
        <v>22.704891052065292</v>
      </c>
      <c r="N186" s="186">
        <f t="shared" si="268"/>
        <v>23.057336578097942</v>
      </c>
      <c r="O186" s="186">
        <f t="shared" si="268"/>
        <v>23.249070137552067</v>
      </c>
      <c r="P186" s="186">
        <f t="shared" si="268"/>
        <v>23.440803697006192</v>
      </c>
      <c r="Q186" s="186">
        <f t="shared" si="268"/>
        <v>23.568784279696359</v>
      </c>
      <c r="R186" s="186">
        <f t="shared" si="268"/>
        <v>23.696764862386523</v>
      </c>
      <c r="S186" s="186">
        <f t="shared" si="268"/>
        <v>22.294737049596232</v>
      </c>
      <c r="T186" s="186">
        <f t="shared" si="268"/>
        <v>22.667428163404651</v>
      </c>
      <c r="U186" s="186">
        <f t="shared" si="268"/>
        <v>23.0679343169977</v>
      </c>
      <c r="V186" s="186">
        <f t="shared" si="268"/>
        <v>23.46844047059075</v>
      </c>
      <c r="W186" s="186">
        <f t="shared" si="268"/>
        <v>23.868946624183799</v>
      </c>
      <c r="X186" s="186">
        <f t="shared" si="268"/>
        <v>24.269452777776849</v>
      </c>
      <c r="Y186" s="186">
        <f t="shared" si="268"/>
        <v>24.669958931369898</v>
      </c>
      <c r="Z186" s="186">
        <f t="shared" si="268"/>
        <v>25.070465084962947</v>
      </c>
      <c r="AA186" s="186">
        <f t="shared" si="268"/>
        <v>25.470971238555997</v>
      </c>
      <c r="AB186" s="186">
        <f t="shared" si="268"/>
        <v>25.871477392149046</v>
      </c>
      <c r="AC186" s="186">
        <f t="shared" si="268"/>
        <v>26.271983545742081</v>
      </c>
      <c r="AD186" s="186">
        <f t="shared" si="268"/>
        <v>26.932674854213737</v>
      </c>
      <c r="AE186" s="186">
        <f t="shared" si="268"/>
        <v>27.593366162685392</v>
      </c>
      <c r="AF186" s="186">
        <f t="shared" si="268"/>
        <v>28.254057471157047</v>
      </c>
      <c r="AG186" s="186">
        <f t="shared" si="268"/>
        <v>28.914748779628702</v>
      </c>
      <c r="AH186" s="186">
        <f t="shared" si="268"/>
        <v>29.575440088100358</v>
      </c>
      <c r="AI186" s="186">
        <f t="shared" si="268"/>
        <v>30.236131396572013</v>
      </c>
      <c r="AJ186" s="186">
        <f t="shared" si="268"/>
        <v>30.896822705043668</v>
      </c>
      <c r="AK186" s="186">
        <f t="shared" si="268"/>
        <v>31.557514013515323</v>
      </c>
      <c r="AL186" s="186">
        <f t="shared" si="268"/>
        <v>32.218205321986979</v>
      </c>
      <c r="AM186" s="186">
        <f t="shared" si="268"/>
        <v>32.878896630458648</v>
      </c>
      <c r="AN186" s="186">
        <f t="shared" si="268"/>
        <v>37.697294355774616</v>
      </c>
      <c r="AO186" s="186">
        <f t="shared" si="268"/>
        <v>42.515692081090613</v>
      </c>
      <c r="AP186" s="186">
        <f t="shared" si="268"/>
        <v>42.515692081090613</v>
      </c>
      <c r="AQ186" s="186">
        <f t="shared" si="268"/>
        <v>42.515692081090613</v>
      </c>
      <c r="AZ186" s="186"/>
      <c r="BA186" s="186"/>
      <c r="BB186" s="186"/>
      <c r="BC186" s="186"/>
      <c r="BD186" s="186"/>
      <c r="BE186" s="186"/>
    </row>
    <row r="187" spans="1:57">
      <c r="A187" s="185" t="s">
        <v>16</v>
      </c>
      <c r="B187" s="22"/>
      <c r="C187" s="23"/>
      <c r="D187" s="57"/>
      <c r="E187" s="23"/>
      <c r="F187" s="23"/>
      <c r="G187" s="23"/>
      <c r="H187" s="23"/>
      <c r="I187" s="23"/>
      <c r="J187" s="133" t="str">
        <f>B87</f>
        <v>TFROT</v>
      </c>
      <c r="K187" s="186">
        <f t="shared" ref="K187:AQ187" si="269">J148</f>
        <v>25.1</v>
      </c>
      <c r="L187" s="186">
        <f t="shared" si="269"/>
        <v>25.502108304700894</v>
      </c>
      <c r="M187" s="186">
        <f t="shared" si="269"/>
        <v>25.904216609401786</v>
      </c>
      <c r="N187" s="186">
        <f t="shared" si="269"/>
        <v>26.306324914102674</v>
      </c>
      <c r="O187" s="186">
        <f t="shared" si="269"/>
        <v>26.525075475116246</v>
      </c>
      <c r="P187" s="186">
        <f t="shared" si="269"/>
        <v>26.743826036129814</v>
      </c>
      <c r="Q187" s="186">
        <f t="shared" si="269"/>
        <v>26.889840246380864</v>
      </c>
      <c r="R187" s="186">
        <f t="shared" si="269"/>
        <v>27.035854456631917</v>
      </c>
      <c r="S187" s="186">
        <f t="shared" si="269"/>
        <v>25.436268179312091</v>
      </c>
      <c r="T187" s="186">
        <f t="shared" si="269"/>
        <v>25.861474859157145</v>
      </c>
      <c r="U187" s="186">
        <f t="shared" si="269"/>
        <v>26.318415970756487</v>
      </c>
      <c r="V187" s="186">
        <f t="shared" si="269"/>
        <v>26.775357082355828</v>
      </c>
      <c r="W187" s="186">
        <f t="shared" si="269"/>
        <v>27.23229819395517</v>
      </c>
      <c r="X187" s="186">
        <f t="shared" si="269"/>
        <v>27.689239305554512</v>
      </c>
      <c r="Y187" s="186">
        <f t="shared" si="269"/>
        <v>28.146180417153854</v>
      </c>
      <c r="Z187" s="186">
        <f t="shared" si="269"/>
        <v>28.603121528753196</v>
      </c>
      <c r="AA187" s="186">
        <f t="shared" si="269"/>
        <v>29.060062640352537</v>
      </c>
      <c r="AB187" s="186">
        <f t="shared" si="269"/>
        <v>29.517003751951879</v>
      </c>
      <c r="AC187" s="186">
        <f t="shared" si="269"/>
        <v>29.973944863551218</v>
      </c>
      <c r="AD187" s="186">
        <f t="shared" si="269"/>
        <v>30.727733583671153</v>
      </c>
      <c r="AE187" s="186">
        <f t="shared" si="269"/>
        <v>31.481522303791088</v>
      </c>
      <c r="AF187" s="186">
        <f t="shared" si="269"/>
        <v>32.235311023911024</v>
      </c>
      <c r="AG187" s="186">
        <f t="shared" si="269"/>
        <v>32.989099744030959</v>
      </c>
      <c r="AH187" s="186">
        <f t="shared" si="269"/>
        <v>33.742888464150894</v>
      </c>
      <c r="AI187" s="186">
        <f t="shared" si="269"/>
        <v>34.49667718427083</v>
      </c>
      <c r="AJ187" s="186">
        <f t="shared" si="269"/>
        <v>35.250465904390765</v>
      </c>
      <c r="AK187" s="186">
        <f t="shared" si="269"/>
        <v>36.0042546245107</v>
      </c>
      <c r="AL187" s="186">
        <f t="shared" si="269"/>
        <v>36.758043344630636</v>
      </c>
      <c r="AM187" s="186">
        <f t="shared" si="269"/>
        <v>37.511832064750571</v>
      </c>
      <c r="AN187" s="186">
        <f t="shared" si="269"/>
        <v>43.009185833179252</v>
      </c>
      <c r="AO187" s="186">
        <f t="shared" si="269"/>
        <v>48.506539601607955</v>
      </c>
      <c r="AP187" s="186">
        <f t="shared" si="269"/>
        <v>48.506539601607955</v>
      </c>
      <c r="AQ187" s="186">
        <f t="shared" si="269"/>
        <v>48.506539601607955</v>
      </c>
      <c r="AZ187" s="186"/>
      <c r="BA187" s="186"/>
      <c r="BB187" s="186"/>
      <c r="BC187" s="186"/>
      <c r="BD187" s="186"/>
      <c r="BE187" s="186"/>
    </row>
    <row r="188" spans="1:57">
      <c r="A188" s="185" t="s">
        <v>16</v>
      </c>
      <c r="J188" s="133" t="str">
        <f>B88</f>
        <v>TFREX</v>
      </c>
      <c r="K188" s="186">
        <f t="shared" ref="K188:AQ188" si="270">J149</f>
        <v>82</v>
      </c>
      <c r="L188" s="186">
        <f t="shared" si="270"/>
        <v>82</v>
      </c>
      <c r="M188" s="186">
        <f t="shared" si="270"/>
        <v>82</v>
      </c>
      <c r="N188" s="186">
        <f t="shared" si="270"/>
        <v>82</v>
      </c>
      <c r="O188" s="186">
        <f t="shared" si="270"/>
        <v>82</v>
      </c>
      <c r="P188" s="186">
        <f t="shared" si="270"/>
        <v>82</v>
      </c>
      <c r="Q188" s="186">
        <f t="shared" si="270"/>
        <v>82.736172776937963</v>
      </c>
      <c r="R188" s="186">
        <f t="shared" si="270"/>
        <v>83.472345553875911</v>
      </c>
      <c r="S188" s="186">
        <f t="shared" si="270"/>
        <v>75.296230147600639</v>
      </c>
      <c r="T188" s="186">
        <f t="shared" si="270"/>
        <v>79.105852655656577</v>
      </c>
      <c r="U188" s="186">
        <f t="shared" si="270"/>
        <v>80.098633146166861</v>
      </c>
      <c r="V188" s="186">
        <f t="shared" si="270"/>
        <v>81.091413636677146</v>
      </c>
      <c r="W188" s="186">
        <f t="shared" si="270"/>
        <v>82.08419412718743</v>
      </c>
      <c r="X188" s="186">
        <f t="shared" si="270"/>
        <v>83.076974617697715</v>
      </c>
      <c r="Y188" s="186">
        <f t="shared" si="270"/>
        <v>84.069755108208</v>
      </c>
      <c r="Z188" s="186">
        <f t="shared" si="270"/>
        <v>85.062535598718284</v>
      </c>
      <c r="AA188" s="186">
        <f t="shared" si="270"/>
        <v>86.055316089228569</v>
      </c>
      <c r="AB188" s="186">
        <f t="shared" si="270"/>
        <v>87.048096579738854</v>
      </c>
      <c r="AC188" s="186">
        <f t="shared" si="270"/>
        <v>88.040877070249081</v>
      </c>
      <c r="AD188" s="186">
        <f t="shared" si="270"/>
        <v>89.889451104345511</v>
      </c>
      <c r="AE188" s="186">
        <f t="shared" si="270"/>
        <v>91.738025138441941</v>
      </c>
      <c r="AF188" s="186">
        <f t="shared" si="270"/>
        <v>93.586599172538371</v>
      </c>
      <c r="AG188" s="186">
        <f t="shared" si="270"/>
        <v>95.435173206634801</v>
      </c>
      <c r="AH188" s="186">
        <f t="shared" si="270"/>
        <v>97.28374724073123</v>
      </c>
      <c r="AI188" s="186">
        <f t="shared" si="270"/>
        <v>99.13232127482766</v>
      </c>
      <c r="AJ188" s="186">
        <f t="shared" si="270"/>
        <v>100.98089530892409</v>
      </c>
      <c r="AK188" s="186">
        <f t="shared" si="270"/>
        <v>102.82946934302052</v>
      </c>
      <c r="AL188" s="186">
        <f t="shared" si="270"/>
        <v>104.67804337711695</v>
      </c>
      <c r="AM188" s="186">
        <f t="shared" si="270"/>
        <v>106.52661741121335</v>
      </c>
      <c r="AN188" s="186">
        <f t="shared" si="270"/>
        <v>118.056857121503</v>
      </c>
      <c r="AO188" s="186">
        <f t="shared" si="270"/>
        <v>129.58709683179265</v>
      </c>
      <c r="AP188" s="186">
        <f t="shared" si="270"/>
        <v>129.58709683179265</v>
      </c>
      <c r="AQ188" s="186">
        <f t="shared" si="270"/>
        <v>129.58709683179265</v>
      </c>
      <c r="AZ188" s="186"/>
      <c r="BA188" s="186"/>
      <c r="BB188" s="186"/>
      <c r="BC188" s="186"/>
      <c r="BD188" s="186"/>
      <c r="BE188" s="186"/>
    </row>
    <row r="189" spans="1:57">
      <c r="A189" s="185" t="s">
        <v>16</v>
      </c>
    </row>
  </sheetData>
  <mergeCells count="1">
    <mergeCell ref="B2:C2"/>
  </mergeCells>
  <phoneticPr fontId="167" type="noConversion"/>
  <pageMargins left="0.7" right="0.7" top="0.75" bottom="0.75" header="0.3" footer="0.3"/>
  <ignoredErrors>
    <ignoredError sqref="D139" formula="1"/>
  </ignoredErrors>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L282"/>
  <sheetViews>
    <sheetView topLeftCell="A31" zoomScale="90" zoomScaleNormal="90" workbookViewId="0">
      <selection activeCell="P70" sqref="P70"/>
    </sheetView>
  </sheetViews>
  <sheetFormatPr defaultColWidth="9.140625" defaultRowHeight="15"/>
  <cols>
    <col min="1" max="1" width="9" style="185" customWidth="1"/>
    <col min="2" max="2" width="11.140625" style="185" customWidth="1"/>
    <col min="3" max="3" width="42.85546875" style="185" customWidth="1"/>
    <col min="4" max="4" width="15.85546875" style="185" customWidth="1"/>
    <col min="5" max="5" width="10.140625" style="185" customWidth="1"/>
    <col min="6" max="7" width="7.42578125" style="185" customWidth="1"/>
    <col min="8" max="8" width="8.42578125" style="185" bestFit="1" customWidth="1"/>
    <col min="9" max="9" width="8.85546875" style="185" bestFit="1" customWidth="1"/>
    <col min="10" max="11" width="11.140625" style="185" bestFit="1" customWidth="1"/>
    <col min="12" max="12" width="9.140625" style="40" bestFit="1" customWidth="1"/>
    <col min="13" max="13" width="7.85546875" style="185" customWidth="1"/>
    <col min="14" max="14" width="7.7109375" style="185" customWidth="1"/>
    <col min="15" max="15" width="8.42578125" style="185" bestFit="1" customWidth="1"/>
    <col min="16" max="17" width="8.42578125" style="185" customWidth="1"/>
    <col min="18" max="18" width="7.5703125" style="185" customWidth="1"/>
    <col min="19" max="19" width="7.85546875" style="185" customWidth="1"/>
    <col min="20" max="20" width="9.42578125" style="185" customWidth="1"/>
    <col min="21" max="21" width="8.140625" style="185" customWidth="1"/>
    <col min="22" max="22" width="9.85546875" style="185" customWidth="1"/>
    <col min="23" max="23" width="9.42578125" style="185" customWidth="1"/>
    <col min="24" max="24" width="9.7109375" style="185" customWidth="1"/>
    <col min="25" max="42" width="7.7109375" style="185" customWidth="1"/>
    <col min="43" max="53" width="9.140625" style="185"/>
    <col min="54" max="54" width="19.140625" style="185" customWidth="1"/>
    <col min="55" max="55" width="18.85546875" style="185" customWidth="1"/>
    <col min="56" max="16384" width="9.140625" style="185"/>
  </cols>
  <sheetData>
    <row r="1" spans="1:64">
      <c r="A1" s="185" t="str">
        <f>IF(TRA,"TS DATA","")</f>
        <v>TS DATA</v>
      </c>
      <c r="B1" s="185" t="s">
        <v>17</v>
      </c>
      <c r="D1" s="185">
        <f>DriversGams!C163</f>
        <v>-1</v>
      </c>
      <c r="L1" s="185"/>
      <c r="N1" s="40"/>
      <c r="BB1" s="192" t="s">
        <v>223</v>
      </c>
      <c r="BC1" s="192" t="s">
        <v>540</v>
      </c>
      <c r="BD1" s="192" t="s">
        <v>197</v>
      </c>
      <c r="BE1" s="192" t="s">
        <v>544</v>
      </c>
      <c r="BF1" s="192"/>
      <c r="BG1" s="192"/>
      <c r="BH1" s="192"/>
      <c r="BI1" s="288" t="s">
        <v>623</v>
      </c>
      <c r="BJ1" s="288"/>
      <c r="BK1" s="288"/>
      <c r="BL1" s="192"/>
    </row>
    <row r="2" spans="1:64" ht="15.75" thickBot="1">
      <c r="A2" s="185" t="s">
        <v>16</v>
      </c>
      <c r="B2" s="325" t="s">
        <v>296</v>
      </c>
      <c r="C2" s="325"/>
      <c r="L2" s="185"/>
      <c r="N2" s="138"/>
      <c r="O2" s="138"/>
      <c r="R2" s="138"/>
      <c r="T2" s="138"/>
      <c r="U2" s="33"/>
      <c r="V2" s="33"/>
      <c r="W2" s="33"/>
      <c r="X2" s="33"/>
      <c r="AA2" s="33"/>
      <c r="AC2" s="33"/>
      <c r="AD2" s="33"/>
      <c r="AE2" s="33"/>
      <c r="AF2" s="33"/>
      <c r="AG2" s="33"/>
      <c r="AH2" s="33"/>
      <c r="AI2" s="33"/>
      <c r="AJ2" s="33"/>
      <c r="AK2" s="33"/>
      <c r="AL2" s="33"/>
      <c r="AM2" s="33"/>
      <c r="AN2" s="33"/>
      <c r="AO2" s="33"/>
      <c r="AP2" s="33"/>
      <c r="AQ2" s="33"/>
      <c r="AR2" s="33"/>
      <c r="BB2" s="192"/>
      <c r="BC2" s="192"/>
      <c r="BD2" s="192"/>
      <c r="BE2" s="192" t="s">
        <v>541</v>
      </c>
      <c r="BF2" s="192" t="s">
        <v>541</v>
      </c>
      <c r="BG2" s="192" t="s">
        <v>541</v>
      </c>
      <c r="BH2" s="192" t="s">
        <v>546</v>
      </c>
      <c r="BI2" s="192" t="s">
        <v>620</v>
      </c>
      <c r="BJ2" s="192" t="s">
        <v>621</v>
      </c>
      <c r="BK2" s="192" t="s">
        <v>622</v>
      </c>
      <c r="BL2" s="192"/>
    </row>
    <row r="3" spans="1:64">
      <c r="A3" s="185" t="s">
        <v>16</v>
      </c>
      <c r="B3" s="228"/>
      <c r="C3" s="192" t="str">
        <f>INDEX($BC$4:$BC$7,MATCH($D$3,$BB$4:$BB$7,0))</f>
        <v>NDC-PAMS-reference</v>
      </c>
      <c r="D3" s="196">
        <f>DriversGams!C163</f>
        <v>-1</v>
      </c>
      <c r="L3" s="185"/>
      <c r="N3" s="39"/>
      <c r="BB3" s="192"/>
      <c r="BC3" s="192"/>
      <c r="BD3" s="192"/>
      <c r="BE3" s="192" t="s">
        <v>542</v>
      </c>
      <c r="BF3" s="192" t="s">
        <v>543</v>
      </c>
      <c r="BG3" s="192" t="s">
        <v>654</v>
      </c>
      <c r="BH3" s="192"/>
      <c r="BI3" s="192"/>
      <c r="BJ3" s="192"/>
      <c r="BK3" s="192"/>
      <c r="BL3" s="192"/>
    </row>
    <row r="4" spans="1:64">
      <c r="A4" s="185" t="s">
        <v>16</v>
      </c>
      <c r="C4" s="5" t="s">
        <v>198</v>
      </c>
      <c r="D4" s="195">
        <f>INDEX($BD$4:$BD$7,MATCH($D$3,$BB$4:$BB$7,0))</f>
        <v>0</v>
      </c>
      <c r="E4" s="185">
        <v>2012</v>
      </c>
      <c r="F4" s="185">
        <v>2015</v>
      </c>
      <c r="G4" s="185">
        <v>2017</v>
      </c>
      <c r="H4" s="188">
        <v>2019</v>
      </c>
      <c r="I4" s="185">
        <v>2020</v>
      </c>
      <c r="J4" s="188">
        <v>2021</v>
      </c>
      <c r="K4" s="185">
        <v>2030</v>
      </c>
      <c r="L4" s="185">
        <v>2040</v>
      </c>
      <c r="M4" s="121">
        <v>2050</v>
      </c>
      <c r="N4" s="238"/>
      <c r="W4" s="238"/>
      <c r="X4" s="238"/>
      <c r="AA4" s="238"/>
      <c r="AC4" s="238"/>
      <c r="AD4" s="238"/>
      <c r="AE4" s="238"/>
      <c r="AF4" s="238"/>
      <c r="AG4" s="238"/>
      <c r="AH4" s="238"/>
      <c r="AI4" s="238"/>
      <c r="AJ4" s="238"/>
      <c r="AK4" s="238"/>
      <c r="AL4" s="238"/>
      <c r="AM4" s="238"/>
      <c r="AN4" s="238"/>
      <c r="AO4" s="238"/>
      <c r="AP4" s="238"/>
      <c r="AQ4" s="238"/>
      <c r="AR4" s="238"/>
      <c r="AS4" s="238"/>
      <c r="BB4" s="192">
        <v>-1</v>
      </c>
      <c r="BC4" s="192" t="s">
        <v>626</v>
      </c>
      <c r="BD4" s="192">
        <v>0</v>
      </c>
      <c r="BE4" s="183">
        <v>0.97499999999999998</v>
      </c>
      <c r="BF4" s="184">
        <v>0.95</v>
      </c>
      <c r="BG4" s="184">
        <v>0.95</v>
      </c>
      <c r="BH4" s="201">
        <v>1</v>
      </c>
      <c r="BI4" s="184">
        <v>0</v>
      </c>
      <c r="BJ4" s="181">
        <v>0</v>
      </c>
      <c r="BK4" s="184">
        <v>0</v>
      </c>
      <c r="BL4" s="192"/>
    </row>
    <row r="5" spans="1:64" ht="15.75" thickBot="1">
      <c r="A5" s="185" t="s">
        <v>16</v>
      </c>
      <c r="B5" s="227"/>
      <c r="C5" s="227"/>
      <c r="L5" s="185"/>
      <c r="M5" s="121"/>
      <c r="BB5" s="192">
        <v>1</v>
      </c>
      <c r="BC5" s="192" t="s">
        <v>627</v>
      </c>
      <c r="BD5" s="192">
        <v>1</v>
      </c>
      <c r="BE5" s="183">
        <v>0.97499999999999998</v>
      </c>
      <c r="BF5" s="184">
        <v>0.95</v>
      </c>
      <c r="BG5" s="184">
        <v>0.95</v>
      </c>
      <c r="BH5" s="201">
        <v>1</v>
      </c>
      <c r="BI5" s="184">
        <v>0</v>
      </c>
      <c r="BJ5" s="181">
        <v>0</v>
      </c>
      <c r="BK5" s="184">
        <v>0</v>
      </c>
      <c r="BL5" s="192"/>
    </row>
    <row r="6" spans="1:64">
      <c r="A6" s="185" t="s">
        <v>16</v>
      </c>
      <c r="E6" s="186"/>
      <c r="F6" s="186"/>
      <c r="G6" s="186"/>
      <c r="I6" s="186"/>
      <c r="K6" s="186"/>
      <c r="L6" s="186"/>
      <c r="M6" s="146"/>
      <c r="N6" s="239"/>
      <c r="R6" s="239"/>
      <c r="T6" s="239"/>
      <c r="U6" s="239"/>
      <c r="V6" s="239"/>
      <c r="W6" s="239"/>
      <c r="X6" s="239"/>
      <c r="AA6" s="239"/>
      <c r="AC6" s="239"/>
      <c r="AD6" s="239"/>
      <c r="AE6" s="239"/>
      <c r="AF6" s="239"/>
      <c r="AG6" s="239"/>
      <c r="AH6" s="239"/>
      <c r="AI6" s="239"/>
      <c r="AJ6" s="239"/>
      <c r="AK6" s="239"/>
      <c r="AL6" s="239"/>
      <c r="AM6" s="239"/>
      <c r="AN6" s="239"/>
      <c r="AO6" s="239"/>
      <c r="AP6" s="239"/>
      <c r="AQ6" s="239"/>
      <c r="AR6" s="239"/>
      <c r="AS6" s="239"/>
      <c r="AT6" s="239"/>
      <c r="AU6" s="239"/>
      <c r="BB6" s="192">
        <v>2</v>
      </c>
      <c r="BC6" s="192" t="s">
        <v>618</v>
      </c>
      <c r="BD6" s="192">
        <v>1</v>
      </c>
      <c r="BE6" s="183">
        <v>0.97499999999999998</v>
      </c>
      <c r="BF6" s="184">
        <v>0.95</v>
      </c>
      <c r="BG6" s="184">
        <v>0.95</v>
      </c>
      <c r="BH6" s="202">
        <v>1</v>
      </c>
      <c r="BI6" s="184">
        <v>0</v>
      </c>
      <c r="BJ6" s="253">
        <v>0</v>
      </c>
      <c r="BK6" s="184">
        <v>0</v>
      </c>
      <c r="BL6" s="192"/>
    </row>
    <row r="7" spans="1:64">
      <c r="A7" s="185" t="s">
        <v>16</v>
      </c>
      <c r="L7" s="185"/>
      <c r="N7" s="40"/>
      <c r="BB7" s="192">
        <v>3</v>
      </c>
      <c r="BC7" s="192" t="s">
        <v>628</v>
      </c>
      <c r="BD7" s="192">
        <v>1</v>
      </c>
      <c r="BE7" s="183">
        <v>0.97499999999999998</v>
      </c>
      <c r="BF7" s="184">
        <v>0.95</v>
      </c>
      <c r="BG7" s="184">
        <v>0.95</v>
      </c>
      <c r="BH7" s="202">
        <v>1</v>
      </c>
      <c r="BI7" s="183">
        <v>0.05</v>
      </c>
      <c r="BJ7" s="183">
        <v>2.5000000000000001E-2</v>
      </c>
      <c r="BK7" s="183">
        <v>0.2</v>
      </c>
      <c r="BL7" s="192"/>
    </row>
    <row r="8" spans="1:64">
      <c r="A8" s="185" t="s">
        <v>16</v>
      </c>
      <c r="L8" s="185"/>
      <c r="N8" s="40"/>
    </row>
    <row r="9" spans="1:64">
      <c r="A9" s="185" t="s">
        <v>16</v>
      </c>
      <c r="L9" s="185"/>
      <c r="N9" s="40"/>
    </row>
    <row r="10" spans="1:64">
      <c r="A10" s="185" t="s">
        <v>16</v>
      </c>
      <c r="B10" s="228"/>
      <c r="C10" s="228"/>
      <c r="L10" s="185"/>
      <c r="N10" s="40"/>
      <c r="O10" s="239"/>
    </row>
    <row r="11" spans="1:64" ht="15.75" thickBot="1">
      <c r="A11" s="185" t="s">
        <v>16</v>
      </c>
      <c r="B11" s="227" t="s">
        <v>56</v>
      </c>
      <c r="E11" s="185">
        <f>MATCH(E12,Drivers!$C$5:$AG$5,0)</f>
        <v>1</v>
      </c>
      <c r="F11" s="185">
        <f>MATCH(F12,Drivers!$C$5:$AG$5,0)</f>
        <v>4</v>
      </c>
      <c r="G11" s="185">
        <f>MATCH(G12,Drivers!$C$5:$AG$5,0)</f>
        <v>6</v>
      </c>
      <c r="H11" s="283">
        <f>MATCH(H12,Drivers!$C$5:$AG$5,0)</f>
        <v>8</v>
      </c>
      <c r="I11" s="283">
        <f>MATCH(I12,Drivers!$C$5:$AG$5,0)</f>
        <v>9</v>
      </c>
      <c r="J11" s="283">
        <f>MATCH(J12,Drivers!$C$5:$AG$5,0)</f>
        <v>10</v>
      </c>
      <c r="K11" s="185">
        <f>MATCH(K12,Drivers!$C$5:$AG$5,0)</f>
        <v>19</v>
      </c>
      <c r="L11" s="185">
        <f>MATCH(L12,Drivers!$C$5:$AG$5,0)</f>
        <v>29</v>
      </c>
      <c r="M11" s="185">
        <f>MATCH(M12,Drivers!$C$5:$AG$5,0)</f>
        <v>31</v>
      </c>
      <c r="N11" s="40"/>
      <c r="O11" s="5" t="s">
        <v>41</v>
      </c>
      <c r="X11" s="5" t="s">
        <v>197</v>
      </c>
    </row>
    <row r="12" spans="1:64" ht="15.75" thickBot="1">
      <c r="A12" s="185" t="s">
        <v>16</v>
      </c>
      <c r="D12" s="227"/>
      <c r="E12" s="7">
        <f>E4</f>
        <v>2012</v>
      </c>
      <c r="F12" s="7">
        <f t="shared" ref="F12:M12" si="0">F4</f>
        <v>2015</v>
      </c>
      <c r="G12" s="7">
        <f t="shared" si="0"/>
        <v>2017</v>
      </c>
      <c r="H12" s="7">
        <f t="shared" si="0"/>
        <v>2019</v>
      </c>
      <c r="I12" s="7">
        <f t="shared" si="0"/>
        <v>2020</v>
      </c>
      <c r="J12" s="7">
        <f t="shared" si="0"/>
        <v>2021</v>
      </c>
      <c r="K12" s="7">
        <f t="shared" si="0"/>
        <v>2030</v>
      </c>
      <c r="L12" s="7">
        <f t="shared" si="0"/>
        <v>2040</v>
      </c>
      <c r="M12" s="7">
        <f t="shared" si="0"/>
        <v>2050</v>
      </c>
      <c r="N12" s="40"/>
      <c r="O12" s="7">
        <f>F12</f>
        <v>2015</v>
      </c>
      <c r="P12" s="7">
        <f t="shared" ref="P12:S15" si="1">G12</f>
        <v>2017</v>
      </c>
      <c r="Q12" s="7">
        <f t="shared" si="1"/>
        <v>2019</v>
      </c>
      <c r="R12" s="7">
        <f t="shared" si="1"/>
        <v>2020</v>
      </c>
      <c r="S12" s="7">
        <f t="shared" si="1"/>
        <v>2021</v>
      </c>
      <c r="T12" s="7">
        <v>2030</v>
      </c>
      <c r="U12" s="7">
        <v>2040</v>
      </c>
      <c r="V12" s="7">
        <v>2050</v>
      </c>
      <c r="X12" s="7">
        <f>O12</f>
        <v>2015</v>
      </c>
      <c r="Y12" s="7">
        <f t="shared" ref="Y12:AD12" si="2">P12</f>
        <v>2017</v>
      </c>
      <c r="Z12" s="7">
        <f t="shared" si="2"/>
        <v>2019</v>
      </c>
      <c r="AA12" s="7">
        <f t="shared" si="2"/>
        <v>2020</v>
      </c>
      <c r="AB12" s="7">
        <f t="shared" si="2"/>
        <v>2021</v>
      </c>
      <c r="AC12" s="7">
        <f>T12</f>
        <v>2030</v>
      </c>
      <c r="AD12" s="7">
        <f t="shared" si="2"/>
        <v>2040</v>
      </c>
      <c r="AE12" s="7">
        <f>V12</f>
        <v>2050</v>
      </c>
    </row>
    <row r="13" spans="1:64">
      <c r="A13" s="185" t="s">
        <v>16</v>
      </c>
      <c r="C13" s="185" t="s">
        <v>49</v>
      </c>
      <c r="D13" s="185" t="s">
        <v>47</v>
      </c>
      <c r="E13" s="186">
        <f>INDEX(Drivers!$C$31:$AG$33,1,E$11)</f>
        <v>26.164390783448656</v>
      </c>
      <c r="F13" s="186">
        <f>INDEX(Drivers!$C$31:$AG$33,1,F$11)</f>
        <v>26.360993218184007</v>
      </c>
      <c r="G13" s="186">
        <f>INDEX(Drivers!$C$31:$AG$33,1,G$11)</f>
        <v>26.578764727799523</v>
      </c>
      <c r="H13" s="186">
        <f>INDEX(Drivers!$C$31:$AG$33,1,H$11)</f>
        <v>26.911307025844376</v>
      </c>
      <c r="I13" s="186">
        <f>INDEX(Drivers!$C$31:$AG$33,1,I$11)</f>
        <v>28.111589337230718</v>
      </c>
      <c r="J13" s="186">
        <f>INDEX(Drivers!$C$31:$AG$33,1,J$11)</f>
        <v>29.277268001984922</v>
      </c>
      <c r="K13" s="186">
        <f>INDEX(Drivers!$C$31:$AG$33,1,K$11)</f>
        <v>27.84457886154026</v>
      </c>
      <c r="L13" s="186">
        <f>INDEX(Drivers!$C$31:$AG$33,1,L$11)</f>
        <v>23.986195872849844</v>
      </c>
      <c r="M13" s="186">
        <f>INDEX(Drivers!$C$31:$AG$33,1,M$11)</f>
        <v>19.593316062021987</v>
      </c>
      <c r="N13" s="40"/>
      <c r="O13" s="186">
        <f>F13</f>
        <v>26.360993218184007</v>
      </c>
      <c r="P13" s="186">
        <f t="shared" si="1"/>
        <v>26.578764727799523</v>
      </c>
      <c r="Q13" s="186">
        <f t="shared" si="1"/>
        <v>26.911307025844376</v>
      </c>
      <c r="R13" s="186">
        <f t="shared" si="1"/>
        <v>28.111589337230718</v>
      </c>
      <c r="S13" s="186">
        <f t="shared" si="1"/>
        <v>29.277268001984922</v>
      </c>
      <c r="T13" s="186">
        <f t="shared" ref="T13:V15" si="3">K13</f>
        <v>27.84457886154026</v>
      </c>
      <c r="U13" s="186">
        <f t="shared" si="3"/>
        <v>23.986195872849844</v>
      </c>
      <c r="V13" s="186">
        <f t="shared" si="3"/>
        <v>19.593316062021987</v>
      </c>
      <c r="X13" s="186">
        <f>F13</f>
        <v>26.360993218184007</v>
      </c>
      <c r="Y13" s="186">
        <f t="shared" ref="Y13:AE15" si="4">G13</f>
        <v>26.578764727799523</v>
      </c>
      <c r="Z13" s="186">
        <f t="shared" si="4"/>
        <v>26.911307025844376</v>
      </c>
      <c r="AA13" s="186">
        <f t="shared" si="4"/>
        <v>28.111589337230718</v>
      </c>
      <c r="AB13" s="186">
        <f t="shared" si="4"/>
        <v>29.277268001984922</v>
      </c>
      <c r="AC13" s="7">
        <f>T13</f>
        <v>27.84457886154026</v>
      </c>
      <c r="AD13" s="186">
        <f t="shared" si="4"/>
        <v>23.986195872849844</v>
      </c>
      <c r="AE13" s="186">
        <f t="shared" si="4"/>
        <v>19.593316062021987</v>
      </c>
    </row>
    <row r="14" spans="1:64">
      <c r="A14" s="185" t="s">
        <v>16</v>
      </c>
      <c r="C14" s="185" t="s">
        <v>51</v>
      </c>
      <c r="D14" s="185" t="s">
        <v>47</v>
      </c>
      <c r="E14" s="186">
        <f>INDEX(Drivers!$C$31:$AG$33,2,E$11)</f>
        <v>15.698634470069196</v>
      </c>
      <c r="F14" s="186">
        <f>INDEX(Drivers!$C$31:$AG$33,2,F$11)</f>
        <v>16.60012737178209</v>
      </c>
      <c r="G14" s="186">
        <f>INDEX(Drivers!$C$31:$AG$33,2,G$11)</f>
        <v>17.298814732088275</v>
      </c>
      <c r="H14" s="186">
        <f>INDEX(Drivers!$C$31:$AG$33,2,H$11)</f>
        <v>18.226385675800731</v>
      </c>
      <c r="I14" s="186">
        <f>INDEX(Drivers!$C$31:$AG$33,2,I$11)</f>
        <v>19.201285369797056</v>
      </c>
      <c r="J14" s="186">
        <f>INDEX(Drivers!$C$31:$AG$33,2,J$11)</f>
        <v>18.406399362296234</v>
      </c>
      <c r="K14" s="186">
        <f>INDEX(Drivers!$C$31:$AG$33,2,K$11)</f>
        <v>21.41729290657965</v>
      </c>
      <c r="L14" s="186">
        <f>INDEX(Drivers!$C$31:$AG$33,2,L$11)</f>
        <v>24.674136706158219</v>
      </c>
      <c r="M14" s="186">
        <f>INDEX(Drivers!$C$31:$AG$33,2,M$11)</f>
        <v>27.322481569655267</v>
      </c>
      <c r="N14" s="40"/>
      <c r="O14" s="186">
        <f t="shared" ref="O14:O15" si="5">F14</f>
        <v>16.60012737178209</v>
      </c>
      <c r="P14" s="186">
        <f t="shared" si="1"/>
        <v>17.298814732088275</v>
      </c>
      <c r="Q14" s="186">
        <f t="shared" si="1"/>
        <v>18.226385675800731</v>
      </c>
      <c r="R14" s="186">
        <f t="shared" si="1"/>
        <v>19.201285369797056</v>
      </c>
      <c r="S14" s="186">
        <f t="shared" si="1"/>
        <v>18.406399362296234</v>
      </c>
      <c r="T14" s="186">
        <f t="shared" si="3"/>
        <v>21.41729290657965</v>
      </c>
      <c r="U14" s="186">
        <f t="shared" si="3"/>
        <v>24.674136706158219</v>
      </c>
      <c r="V14" s="186">
        <f t="shared" si="3"/>
        <v>27.322481569655267</v>
      </c>
      <c r="X14" s="186">
        <f t="shared" ref="X14:X15" si="6">F14</f>
        <v>16.60012737178209</v>
      </c>
      <c r="Y14" s="186">
        <f t="shared" si="4"/>
        <v>17.298814732088275</v>
      </c>
      <c r="Z14" s="186">
        <f t="shared" si="4"/>
        <v>18.226385675800731</v>
      </c>
      <c r="AA14" s="186">
        <f t="shared" si="4"/>
        <v>19.201285369797056</v>
      </c>
      <c r="AB14" s="186">
        <f t="shared" si="4"/>
        <v>18.406399362296234</v>
      </c>
      <c r="AC14" s="7">
        <f>T14</f>
        <v>21.41729290657965</v>
      </c>
      <c r="AD14" s="186">
        <f t="shared" si="4"/>
        <v>24.674136706158219</v>
      </c>
      <c r="AE14" s="186">
        <f t="shared" si="4"/>
        <v>27.322481569655267</v>
      </c>
    </row>
    <row r="15" spans="1:64">
      <c r="A15" s="185" t="s">
        <v>16</v>
      </c>
      <c r="C15" s="185" t="s">
        <v>50</v>
      </c>
      <c r="D15" s="185" t="s">
        <v>47</v>
      </c>
      <c r="E15" s="186">
        <f>INDEX(Drivers!$C$31:$AG$33,3,E$11)</f>
        <v>10.46240762855223</v>
      </c>
      <c r="F15" s="186">
        <f>INDEX(Drivers!$C$31:$AG$33,3,F$11)</f>
        <v>11.789370867355018</v>
      </c>
      <c r="G15" s="186">
        <f>INDEX(Drivers!$C$31:$AG$33,3,G$11)</f>
        <v>12.644368581760297</v>
      </c>
      <c r="H15" s="186">
        <f>INDEX(Drivers!$C$31:$AG$33,3,H$11)</f>
        <v>13.227142220174334</v>
      </c>
      <c r="I15" s="186">
        <f>INDEX(Drivers!$C$31:$AG$33,3,I$11)</f>
        <v>11.995815292972233</v>
      </c>
      <c r="J15" s="186">
        <f>INDEX(Drivers!$C$31:$AG$33,3,J$11)</f>
        <v>12.307913084923102</v>
      </c>
      <c r="K15" s="186">
        <f>INDEX(Drivers!$C$31:$AG$33,3,K$11)</f>
        <v>16.694218231880097</v>
      </c>
      <c r="L15" s="186">
        <f>INDEX(Drivers!$C$31:$AG$33,3,L$11)</f>
        <v>22.714973420991928</v>
      </c>
      <c r="M15" s="186">
        <f>INDEX(Drivers!$C$31:$AG$33,3,M$11)</f>
        <v>28.602111368322735</v>
      </c>
      <c r="N15" s="40"/>
      <c r="O15" s="186">
        <f t="shared" si="5"/>
        <v>11.789370867355018</v>
      </c>
      <c r="P15" s="186">
        <f t="shared" si="1"/>
        <v>12.644368581760297</v>
      </c>
      <c r="Q15" s="186">
        <f t="shared" si="1"/>
        <v>13.227142220174334</v>
      </c>
      <c r="R15" s="186">
        <f t="shared" si="1"/>
        <v>11.995815292972233</v>
      </c>
      <c r="S15" s="186">
        <f t="shared" si="1"/>
        <v>12.307913084923102</v>
      </c>
      <c r="T15" s="186">
        <f t="shared" si="3"/>
        <v>16.694218231880097</v>
      </c>
      <c r="U15" s="186">
        <f t="shared" si="3"/>
        <v>22.714973420991928</v>
      </c>
      <c r="V15" s="186">
        <f t="shared" si="3"/>
        <v>28.602111368322735</v>
      </c>
      <c r="X15" s="186">
        <f t="shared" si="6"/>
        <v>11.789370867355018</v>
      </c>
      <c r="Y15" s="186">
        <f t="shared" si="4"/>
        <v>12.644368581760297</v>
      </c>
      <c r="Z15" s="186">
        <f t="shared" si="4"/>
        <v>13.227142220174334</v>
      </c>
      <c r="AA15" s="186">
        <f t="shared" si="4"/>
        <v>11.995815292972233</v>
      </c>
      <c r="AB15" s="186">
        <f t="shared" si="4"/>
        <v>12.307913084923102</v>
      </c>
      <c r="AC15" s="7">
        <f>T15</f>
        <v>16.694218231880097</v>
      </c>
      <c r="AD15" s="186">
        <f t="shared" si="4"/>
        <v>22.714973420991928</v>
      </c>
      <c r="AE15" s="186">
        <f t="shared" si="4"/>
        <v>28.602111368322735</v>
      </c>
      <c r="BE15" s="30"/>
    </row>
    <row r="16" spans="1:64">
      <c r="A16" s="185" t="s">
        <v>16</v>
      </c>
      <c r="E16" s="3">
        <f t="shared" ref="E16:K16" si="7">SUM(E13:E15)</f>
        <v>52.325432882070082</v>
      </c>
      <c r="F16" s="3">
        <f t="shared" si="7"/>
        <v>54.750491457321118</v>
      </c>
      <c r="G16" s="3">
        <f t="shared" si="7"/>
        <v>56.521948041648095</v>
      </c>
      <c r="H16" s="3">
        <f t="shared" si="7"/>
        <v>58.364834921819444</v>
      </c>
      <c r="I16" s="3">
        <f t="shared" si="7"/>
        <v>59.308690000000006</v>
      </c>
      <c r="J16" s="3">
        <f t="shared" si="7"/>
        <v>59.991580449204257</v>
      </c>
      <c r="K16" s="3">
        <f t="shared" si="7"/>
        <v>65.956090000000003</v>
      </c>
      <c r="L16" s="3">
        <f>SUM(L13:L15)</f>
        <v>71.375305999999995</v>
      </c>
      <c r="M16" s="3">
        <f>SUM(M13:M15)</f>
        <v>75.517908999999989</v>
      </c>
      <c r="N16" s="40"/>
      <c r="O16" s="3">
        <f>SUM(O13:O15)</f>
        <v>54.750491457321118</v>
      </c>
      <c r="P16" s="3">
        <f t="shared" ref="P16:V16" si="8">SUM(P13:P15)</f>
        <v>56.521948041648095</v>
      </c>
      <c r="Q16" s="3">
        <f t="shared" si="8"/>
        <v>58.364834921819444</v>
      </c>
      <c r="R16" s="3">
        <f t="shared" si="8"/>
        <v>59.308690000000006</v>
      </c>
      <c r="S16" s="3">
        <f t="shared" si="8"/>
        <v>59.991580449204257</v>
      </c>
      <c r="T16" s="3">
        <f t="shared" si="8"/>
        <v>65.956090000000003</v>
      </c>
      <c r="U16" s="3">
        <f t="shared" si="8"/>
        <v>71.375305999999995</v>
      </c>
      <c r="V16" s="3">
        <f t="shared" si="8"/>
        <v>75.517908999999989</v>
      </c>
      <c r="X16" s="47">
        <f>SUM(X13:X15)</f>
        <v>54.750491457321118</v>
      </c>
      <c r="Y16" s="47">
        <f t="shared" ref="Y16:AE16" si="9">SUM(Y13:Y15)</f>
        <v>56.521948041648095</v>
      </c>
      <c r="Z16" s="47">
        <f t="shared" si="9"/>
        <v>58.364834921819444</v>
      </c>
      <c r="AA16" s="47">
        <f t="shared" si="9"/>
        <v>59.308690000000006</v>
      </c>
      <c r="AB16" s="47">
        <f t="shared" si="9"/>
        <v>59.991580449204257</v>
      </c>
      <c r="AC16" s="7">
        <f>T16</f>
        <v>65.956090000000003</v>
      </c>
      <c r="AD16" s="47">
        <f t="shared" si="9"/>
        <v>71.375305999999995</v>
      </c>
      <c r="AE16" s="47">
        <f t="shared" si="9"/>
        <v>75.517908999999989</v>
      </c>
      <c r="BE16" s="30"/>
    </row>
    <row r="17" spans="1:57">
      <c r="A17" s="185" t="s">
        <v>16</v>
      </c>
      <c r="B17" s="228"/>
      <c r="L17" s="185"/>
      <c r="N17" s="40"/>
      <c r="BE17" s="30"/>
    </row>
    <row r="18" spans="1:57" ht="15.75" thickBot="1">
      <c r="A18" s="185" t="s">
        <v>16</v>
      </c>
      <c r="B18" s="28"/>
      <c r="C18" s="227" t="s">
        <v>58</v>
      </c>
      <c r="D18" s="227"/>
      <c r="E18" s="7">
        <v>2012</v>
      </c>
      <c r="F18" s="7">
        <v>2015</v>
      </c>
      <c r="G18" s="7">
        <f>G12</f>
        <v>2017</v>
      </c>
      <c r="H18" s="7">
        <f t="shared" ref="H18:J18" si="10">H12</f>
        <v>2019</v>
      </c>
      <c r="I18" s="7">
        <f t="shared" si="10"/>
        <v>2020</v>
      </c>
      <c r="J18" s="7">
        <f t="shared" si="10"/>
        <v>2021</v>
      </c>
      <c r="K18" s="7">
        <v>2030</v>
      </c>
      <c r="L18" s="7">
        <v>2040</v>
      </c>
      <c r="M18" s="7">
        <v>2050</v>
      </c>
      <c r="N18" s="40"/>
      <c r="O18" s="7">
        <f>F18</f>
        <v>2015</v>
      </c>
      <c r="P18" s="7">
        <f t="shared" ref="P18" si="11">G18</f>
        <v>2017</v>
      </c>
      <c r="Q18" s="7">
        <f t="shared" ref="Q18" si="12">H18</f>
        <v>2019</v>
      </c>
      <c r="R18" s="7">
        <f>I18</f>
        <v>2020</v>
      </c>
      <c r="S18" s="7">
        <f>J18</f>
        <v>2021</v>
      </c>
      <c r="T18" s="7">
        <f>K18</f>
        <v>2030</v>
      </c>
      <c r="U18" s="7">
        <f>L18</f>
        <v>2040</v>
      </c>
      <c r="V18" s="7">
        <f>M18</f>
        <v>2050</v>
      </c>
    </row>
    <row r="19" spans="1:57">
      <c r="A19" s="185" t="s">
        <v>16</v>
      </c>
      <c r="B19" s="228"/>
      <c r="C19" s="185" t="s">
        <v>7</v>
      </c>
      <c r="D19" s="35" t="s">
        <v>512</v>
      </c>
      <c r="E19" s="10">
        <f>RES!E43</f>
        <v>1</v>
      </c>
      <c r="F19" s="10">
        <f>RES!E43</f>
        <v>1</v>
      </c>
      <c r="G19" s="204">
        <f>AVERAGE(F19,I19)</f>
        <v>1</v>
      </c>
      <c r="H19" s="204">
        <f>AVERAGE(F19,I19)</f>
        <v>1</v>
      </c>
      <c r="I19" s="10">
        <f>RES!F43</f>
        <v>1</v>
      </c>
      <c r="J19" s="204">
        <f>AVERAGE(I19,K19)</f>
        <v>1</v>
      </c>
      <c r="K19" s="10">
        <f>RES!G43</f>
        <v>1</v>
      </c>
      <c r="L19" s="10">
        <f>RES!H43</f>
        <v>1</v>
      </c>
      <c r="M19" s="10">
        <f>RES!I43</f>
        <v>1</v>
      </c>
      <c r="N19" s="43"/>
      <c r="O19" s="10"/>
      <c r="R19" s="10"/>
      <c r="T19" s="10"/>
      <c r="U19" s="10"/>
      <c r="V19" s="10"/>
      <c r="W19" s="10"/>
      <c r="X19" s="10"/>
      <c r="AA19" s="10"/>
      <c r="AC19" s="10"/>
      <c r="AD19" s="10"/>
      <c r="AE19" s="10"/>
      <c r="AF19" s="10"/>
      <c r="AG19" s="10"/>
      <c r="AH19" s="10"/>
      <c r="AI19" s="10"/>
      <c r="AJ19" s="10"/>
      <c r="AK19" s="10"/>
      <c r="AL19" s="10"/>
      <c r="AM19" s="10"/>
      <c r="AN19" s="10"/>
      <c r="AO19" s="10"/>
      <c r="AP19" s="10"/>
      <c r="AQ19" s="10"/>
      <c r="AR19" s="10"/>
      <c r="AS19" s="10"/>
      <c r="AT19" s="10"/>
      <c r="AU19" s="10"/>
    </row>
    <row r="20" spans="1:57">
      <c r="A20" s="185" t="s">
        <v>16</v>
      </c>
      <c r="B20" s="228"/>
      <c r="C20" s="228" t="s">
        <v>8</v>
      </c>
      <c r="D20" s="35" t="s">
        <v>512</v>
      </c>
      <c r="E20" s="10">
        <f>RES!E44</f>
        <v>1</v>
      </c>
      <c r="F20" s="10">
        <f>RES!E44</f>
        <v>1</v>
      </c>
      <c r="G20" s="204">
        <f>AVERAGE(F20,I20)</f>
        <v>1</v>
      </c>
      <c r="H20" s="204">
        <f t="shared" ref="H20:H21" si="13">AVERAGE(F20,I20)</f>
        <v>1</v>
      </c>
      <c r="I20" s="10">
        <f>RES!F44</f>
        <v>1</v>
      </c>
      <c r="J20" s="204">
        <f t="shared" ref="J20:J21" si="14">AVERAGE(I20,K20)</f>
        <v>1</v>
      </c>
      <c r="K20" s="10">
        <f>RES!G44</f>
        <v>1</v>
      </c>
      <c r="L20" s="10">
        <f>RES!H44</f>
        <v>1</v>
      </c>
      <c r="M20" s="10">
        <f>RES!I44</f>
        <v>1</v>
      </c>
      <c r="N20" s="43"/>
      <c r="O20" s="10"/>
      <c r="R20" s="10"/>
      <c r="T20" s="10"/>
      <c r="U20" s="10"/>
      <c r="V20" s="10"/>
      <c r="W20" s="10"/>
      <c r="X20" s="10"/>
      <c r="AA20" s="10"/>
      <c r="AC20" s="10"/>
      <c r="AD20" s="10"/>
      <c r="AE20" s="10"/>
      <c r="AF20" s="10"/>
      <c r="AG20" s="10"/>
      <c r="AH20" s="10"/>
      <c r="AI20" s="10"/>
      <c r="AJ20" s="10"/>
      <c r="AK20" s="10"/>
      <c r="AL20" s="10"/>
      <c r="AM20" s="10"/>
      <c r="AN20" s="10"/>
      <c r="AO20" s="10"/>
      <c r="AP20" s="10"/>
      <c r="AQ20" s="10"/>
      <c r="AR20" s="10"/>
      <c r="AS20" s="10"/>
      <c r="AT20" s="10"/>
      <c r="AU20" s="10"/>
    </row>
    <row r="21" spans="1:57">
      <c r="A21" s="185" t="s">
        <v>16</v>
      </c>
      <c r="C21" s="228" t="s">
        <v>406</v>
      </c>
      <c r="D21" s="35" t="s">
        <v>512</v>
      </c>
      <c r="E21" s="186">
        <f>RES!E45</f>
        <v>1</v>
      </c>
      <c r="F21" s="186">
        <f>RES!E45</f>
        <v>1</v>
      </c>
      <c r="G21" s="204">
        <f>AVERAGE(F21,I21)</f>
        <v>0.97610921501706494</v>
      </c>
      <c r="H21" s="204">
        <f t="shared" si="13"/>
        <v>0.97610921501706494</v>
      </c>
      <c r="I21" s="186">
        <f>RES!F45</f>
        <v>0.95221843003412987</v>
      </c>
      <c r="J21" s="204">
        <f t="shared" si="14"/>
        <v>1.0273037542662118</v>
      </c>
      <c r="K21" s="10">
        <f>RES!G45</f>
        <v>1.1023890784982937</v>
      </c>
      <c r="L21" s="10">
        <f>RES!H45</f>
        <v>1.3620156089042583</v>
      </c>
      <c r="M21" s="10">
        <f>RES!I45</f>
        <v>1.7304739927162893</v>
      </c>
      <c r="N21" s="43"/>
      <c r="O21" s="10"/>
      <c r="R21" s="46">
        <v>0.25</v>
      </c>
      <c r="S21" s="46">
        <v>0.25</v>
      </c>
      <c r="T21" s="46">
        <f>R21</f>
        <v>0.25</v>
      </c>
      <c r="U21" s="46">
        <f>T21</f>
        <v>0.25</v>
      </c>
      <c r="V21" s="46">
        <f>U21</f>
        <v>0.25</v>
      </c>
      <c r="W21" s="10"/>
      <c r="AA21" s="109"/>
      <c r="AC21" s="10"/>
      <c r="AD21" s="10"/>
      <c r="AE21" s="10"/>
      <c r="AF21" s="10"/>
      <c r="AG21" s="10"/>
      <c r="AH21" s="10"/>
      <c r="AI21" s="10"/>
      <c r="AJ21" s="10"/>
      <c r="AK21" s="10"/>
      <c r="AL21" s="10"/>
      <c r="AM21" s="10"/>
      <c r="AN21" s="10"/>
      <c r="AO21" s="10"/>
      <c r="AP21" s="10"/>
      <c r="AQ21" s="10"/>
      <c r="AR21" s="10"/>
      <c r="AS21" s="10"/>
      <c r="AT21" s="10"/>
      <c r="AU21" s="8"/>
    </row>
    <row r="22" spans="1:57">
      <c r="A22" s="185" t="s">
        <v>16</v>
      </c>
      <c r="C22" s="228"/>
      <c r="L22" s="185"/>
      <c r="N22" s="43"/>
      <c r="O22" s="10"/>
      <c r="R22" s="10"/>
      <c r="T22" s="10"/>
      <c r="U22" s="10"/>
      <c r="V22" s="10"/>
      <c r="W22" s="10"/>
      <c r="X22" s="10"/>
      <c r="AA22" s="10"/>
      <c r="AC22" s="10"/>
      <c r="AD22" s="10"/>
      <c r="AE22" s="10"/>
      <c r="AF22" s="10"/>
      <c r="AG22" s="10"/>
      <c r="AH22" s="10"/>
      <c r="AI22" s="10"/>
      <c r="AJ22" s="10"/>
      <c r="AK22" s="10"/>
      <c r="AL22" s="10"/>
      <c r="AM22" s="10"/>
      <c r="AN22" s="10"/>
      <c r="AO22" s="10"/>
      <c r="AP22" s="10"/>
      <c r="AQ22" s="10"/>
      <c r="AR22" s="10"/>
      <c r="AS22" s="10"/>
      <c r="AT22" s="10"/>
      <c r="AU22" s="10"/>
    </row>
    <row r="23" spans="1:57">
      <c r="A23" s="185" t="s">
        <v>16</v>
      </c>
      <c r="B23" s="228"/>
      <c r="C23" s="228"/>
      <c r="L23" s="185"/>
      <c r="N23" s="40"/>
      <c r="X23" s="185" t="s">
        <v>199</v>
      </c>
    </row>
    <row r="24" spans="1:57" ht="15.75" thickBot="1">
      <c r="A24" s="185" t="s">
        <v>16</v>
      </c>
      <c r="B24" s="227" t="s">
        <v>160</v>
      </c>
      <c r="D24" s="227"/>
      <c r="E24" s="7">
        <f>E4</f>
        <v>2012</v>
      </c>
      <c r="F24" s="7">
        <f t="shared" ref="F24:M24" si="15">F4</f>
        <v>2015</v>
      </c>
      <c r="G24" s="7">
        <f t="shared" si="15"/>
        <v>2017</v>
      </c>
      <c r="H24" s="7">
        <f t="shared" si="15"/>
        <v>2019</v>
      </c>
      <c r="I24" s="7">
        <f t="shared" si="15"/>
        <v>2020</v>
      </c>
      <c r="J24" s="7">
        <f t="shared" si="15"/>
        <v>2021</v>
      </c>
      <c r="K24" s="7">
        <f t="shared" si="15"/>
        <v>2030</v>
      </c>
      <c r="L24" s="7">
        <f t="shared" si="15"/>
        <v>2040</v>
      </c>
      <c r="M24" s="7">
        <f t="shared" si="15"/>
        <v>2050</v>
      </c>
      <c r="N24" s="40"/>
      <c r="O24" s="7">
        <f>F24</f>
        <v>2015</v>
      </c>
      <c r="P24" s="7">
        <f t="shared" ref="P24:Q24" si="16">G24</f>
        <v>2017</v>
      </c>
      <c r="Q24" s="7">
        <f t="shared" si="16"/>
        <v>2019</v>
      </c>
      <c r="R24" s="7">
        <f>I24</f>
        <v>2020</v>
      </c>
      <c r="S24" s="7">
        <f>J24</f>
        <v>2021</v>
      </c>
      <c r="T24" s="7">
        <f>K24</f>
        <v>2030</v>
      </c>
      <c r="U24" s="7">
        <f>L24</f>
        <v>2040</v>
      </c>
      <c r="V24" s="7">
        <f>M24</f>
        <v>2050</v>
      </c>
      <c r="X24" s="304">
        <f>X$12</f>
        <v>2015</v>
      </c>
      <c r="Y24" s="304">
        <f t="shared" ref="Y24:AE24" si="17">Y$12</f>
        <v>2017</v>
      </c>
      <c r="Z24" s="304">
        <f t="shared" si="17"/>
        <v>2019</v>
      </c>
      <c r="AA24" s="304">
        <f t="shared" si="17"/>
        <v>2020</v>
      </c>
      <c r="AB24" s="304">
        <f t="shared" si="17"/>
        <v>2021</v>
      </c>
      <c r="AC24" s="304">
        <f t="shared" si="17"/>
        <v>2030</v>
      </c>
      <c r="AD24" s="304">
        <f t="shared" si="17"/>
        <v>2040</v>
      </c>
      <c r="AE24" s="304">
        <f t="shared" si="17"/>
        <v>2050</v>
      </c>
    </row>
    <row r="25" spans="1:57">
      <c r="A25" s="185" t="s">
        <v>16</v>
      </c>
      <c r="B25" s="193">
        <f>INDEX($BG$4:$BG$7,MATCH($D$3,$BB$4:$BB$7,0))</f>
        <v>0.95</v>
      </c>
      <c r="C25" s="228" t="str">
        <f>C19</f>
        <v>Low Income</v>
      </c>
      <c r="D25" s="185" t="s">
        <v>48</v>
      </c>
      <c r="E25" s="230">
        <f>[2]Calib_1011!$H$86</f>
        <v>0.02</v>
      </c>
      <c r="F25" s="62">
        <f>IF($D$4,X25,O25)</f>
        <v>0.02</v>
      </c>
      <c r="G25" s="62">
        <f t="shared" ref="G25:L25" si="18">IF($D$4,Y25,P25)</f>
        <v>0.02</v>
      </c>
      <c r="H25" s="62">
        <f t="shared" si="18"/>
        <v>0.02</v>
      </c>
      <c r="I25" s="62">
        <f t="shared" si="18"/>
        <v>0.02</v>
      </c>
      <c r="J25" s="62">
        <f t="shared" si="18"/>
        <v>0.02</v>
      </c>
      <c r="K25" s="62">
        <f t="shared" si="18"/>
        <v>0.02</v>
      </c>
      <c r="L25" s="62">
        <f t="shared" si="18"/>
        <v>0.02</v>
      </c>
      <c r="M25" s="62">
        <f>IF($D$4,AE25,V25)</f>
        <v>0.02</v>
      </c>
      <c r="N25" s="240"/>
      <c r="O25" s="62">
        <f>E25</f>
        <v>0.02</v>
      </c>
      <c r="P25" s="62">
        <f>O25</f>
        <v>0.02</v>
      </c>
      <c r="Q25" s="62">
        <f>P25</f>
        <v>0.02</v>
      </c>
      <c r="R25" s="62">
        <f t="shared" ref="R25:V25" si="19">Q25</f>
        <v>0.02</v>
      </c>
      <c r="S25" s="62">
        <f t="shared" si="19"/>
        <v>0.02</v>
      </c>
      <c r="T25" s="34">
        <f t="shared" si="19"/>
        <v>0.02</v>
      </c>
      <c r="U25" s="34">
        <f t="shared" si="19"/>
        <v>0.02</v>
      </c>
      <c r="V25" s="34">
        <f t="shared" si="19"/>
        <v>0.02</v>
      </c>
      <c r="W25" s="241"/>
      <c r="X25" s="62">
        <f>O25</f>
        <v>0.02</v>
      </c>
      <c r="Y25" s="62">
        <f t="shared" ref="Y25:AB25" si="20">P25</f>
        <v>0.02</v>
      </c>
      <c r="Z25" s="62">
        <f t="shared" si="20"/>
        <v>0.02</v>
      </c>
      <c r="AA25" s="62">
        <f t="shared" si="20"/>
        <v>0.02</v>
      </c>
      <c r="AB25" s="62">
        <f t="shared" si="20"/>
        <v>0.02</v>
      </c>
      <c r="AC25" s="70">
        <v>0.05</v>
      </c>
      <c r="AD25" s="70">
        <v>0.04</v>
      </c>
      <c r="AE25" s="70">
        <v>0.04</v>
      </c>
      <c r="AF25" s="241"/>
      <c r="AG25" s="241"/>
      <c r="AH25" s="241"/>
      <c r="AI25" s="241"/>
      <c r="AJ25" s="241"/>
      <c r="AK25" s="241"/>
      <c r="AL25" s="241"/>
      <c r="AM25" s="241"/>
      <c r="AN25" s="241"/>
      <c r="AO25" s="241"/>
      <c r="AP25" s="241"/>
      <c r="AQ25" s="241"/>
      <c r="AR25" s="241"/>
      <c r="AS25" s="241"/>
      <c r="AT25" s="241"/>
      <c r="AU25" s="241"/>
    </row>
    <row r="26" spans="1:57">
      <c r="A26" s="185" t="s">
        <v>16</v>
      </c>
      <c r="B26" s="193">
        <f>INDEX($BF$4:$BF$7,MATCH($D$3,$BB$4:$BB$7,0))</f>
        <v>0.95</v>
      </c>
      <c r="C26" s="228" t="str">
        <f>C20</f>
        <v>Middle Income</v>
      </c>
      <c r="D26" s="185" t="s">
        <v>48</v>
      </c>
      <c r="E26" s="230">
        <f>[2]Calib_1011!$I$86</f>
        <v>0.53</v>
      </c>
      <c r="F26" s="62">
        <f t="shared" ref="F26:F27" si="21">IF($D$4,X26,O26)</f>
        <v>0.53</v>
      </c>
      <c r="G26" s="62">
        <f t="shared" ref="G26:G27" si="22">IF($D$4,Y26,P26)</f>
        <v>0.53</v>
      </c>
      <c r="H26" s="62">
        <f t="shared" ref="H26:H27" si="23">IF($D$4,Z26,Q26)</f>
        <v>0.53</v>
      </c>
      <c r="I26" s="62">
        <f t="shared" ref="I26:I27" si="24">IF($D$4,AA26,R26)</f>
        <v>0.53</v>
      </c>
      <c r="J26" s="62">
        <f t="shared" ref="J26:J27" si="25">IF($D$4,AB26,S26)</f>
        <v>0.53</v>
      </c>
      <c r="K26" s="62">
        <f t="shared" ref="K26:K27" si="26">IF($D$4,AC26,T26)</f>
        <v>0.53</v>
      </c>
      <c r="L26" s="62">
        <f t="shared" ref="L26:L27" si="27">IF($D$4,AD26,U26)</f>
        <v>0.53</v>
      </c>
      <c r="M26" s="62">
        <f t="shared" ref="M26:M27" si="28">IF($D$4,AE26,V26)</f>
        <v>0.53</v>
      </c>
      <c r="N26" s="240"/>
      <c r="O26" s="62">
        <f>E26</f>
        <v>0.53</v>
      </c>
      <c r="P26" s="62">
        <f t="shared" ref="P26:Q27" si="29">O26</f>
        <v>0.53</v>
      </c>
      <c r="Q26" s="62">
        <f t="shared" si="29"/>
        <v>0.53</v>
      </c>
      <c r="R26" s="62">
        <f t="shared" ref="R26:V26" si="30">Q26</f>
        <v>0.53</v>
      </c>
      <c r="S26" s="62">
        <f t="shared" si="30"/>
        <v>0.53</v>
      </c>
      <c r="T26" s="34">
        <f t="shared" si="30"/>
        <v>0.53</v>
      </c>
      <c r="U26" s="34">
        <f t="shared" si="30"/>
        <v>0.53</v>
      </c>
      <c r="V26" s="34">
        <f t="shared" si="30"/>
        <v>0.53</v>
      </c>
      <c r="W26" s="241"/>
      <c r="X26" s="62">
        <f t="shared" ref="X26:X27" si="31">O26</f>
        <v>0.53</v>
      </c>
      <c r="Y26" s="62">
        <f t="shared" ref="Y26:Y27" si="32">P26</f>
        <v>0.53</v>
      </c>
      <c r="Z26" s="62">
        <f t="shared" ref="Z26:Z27" si="33">Q26</f>
        <v>0.53</v>
      </c>
      <c r="AA26" s="62">
        <f t="shared" ref="AA26:AA27" si="34">R26</f>
        <v>0.53</v>
      </c>
      <c r="AB26" s="62">
        <f t="shared" ref="AB26:AB27" si="35">S26</f>
        <v>0.53</v>
      </c>
      <c r="AC26" s="70">
        <f>IF(INDEX($BH$4:$BH$7,MATCH($D$3,$BB$4:$BB$7,0)),AA26*$B$26,AA26)</f>
        <v>0.50349999999999995</v>
      </c>
      <c r="AD26" s="70">
        <f>IF(INDEX($BH$4:$BH$7,MATCH($D$3,$BB$4:$BB$7,0)),AC26*$B$26,AC26)</f>
        <v>0.47832499999999994</v>
      </c>
      <c r="AE26" s="70">
        <f>IF(INDEX($BH$4:$BH$7,MATCH($D$3,$BB$4:$BB$7,0)),AD26*$B$26,AD26)</f>
        <v>0.45440874999999992</v>
      </c>
      <c r="AF26" s="241"/>
      <c r="AG26" s="241"/>
      <c r="AH26" s="241"/>
      <c r="AI26" s="241"/>
      <c r="AJ26" s="241"/>
      <c r="AK26" s="241"/>
      <c r="AL26" s="241"/>
      <c r="AM26" s="241"/>
      <c r="AN26" s="241"/>
      <c r="AO26" s="241"/>
      <c r="AP26" s="241"/>
      <c r="AQ26" s="241"/>
      <c r="AR26" s="241"/>
      <c r="AS26" s="241"/>
      <c r="AT26" s="241"/>
      <c r="AU26" s="241"/>
    </row>
    <row r="27" spans="1:57">
      <c r="A27" s="185" t="s">
        <v>16</v>
      </c>
      <c r="B27" s="193">
        <f>INDEX($BE$4:$BE$7,MATCH($D$3,$BB$4:$BB$7,0))</f>
        <v>0.97499999999999998</v>
      </c>
      <c r="C27" s="228" t="str">
        <f>C21</f>
        <v>High Income</v>
      </c>
      <c r="D27" s="185" t="s">
        <v>48</v>
      </c>
      <c r="E27" s="280">
        <f>[2]Calib_1011!$J$86*0.98</f>
        <v>0.76810810810810803</v>
      </c>
      <c r="F27" s="62">
        <f t="shared" si="21"/>
        <v>0.76810810810810803</v>
      </c>
      <c r="G27" s="62">
        <f t="shared" si="22"/>
        <v>0.76810810810810803</v>
      </c>
      <c r="H27" s="62">
        <f t="shared" si="23"/>
        <v>0.76810810810810803</v>
      </c>
      <c r="I27" s="62">
        <f t="shared" si="24"/>
        <v>0.76810810810810803</v>
      </c>
      <c r="J27" s="62">
        <f t="shared" si="25"/>
        <v>0.76810810810810803</v>
      </c>
      <c r="K27" s="62">
        <f t="shared" si="26"/>
        <v>0.76810810810810803</v>
      </c>
      <c r="L27" s="62">
        <f t="shared" si="27"/>
        <v>0.76810810810810803</v>
      </c>
      <c r="M27" s="62">
        <f t="shared" si="28"/>
        <v>0.76810810810810803</v>
      </c>
      <c r="N27" s="240"/>
      <c r="O27" s="62">
        <f>E27</f>
        <v>0.76810810810810803</v>
      </c>
      <c r="P27" s="62">
        <f t="shared" si="29"/>
        <v>0.76810810810810803</v>
      </c>
      <c r="Q27" s="62">
        <f t="shared" si="29"/>
        <v>0.76810810810810803</v>
      </c>
      <c r="R27" s="62">
        <f t="shared" ref="R27:V27" si="36">Q27</f>
        <v>0.76810810810810803</v>
      </c>
      <c r="S27" s="62">
        <f t="shared" si="36"/>
        <v>0.76810810810810803</v>
      </c>
      <c r="T27" s="34">
        <f t="shared" si="36"/>
        <v>0.76810810810810803</v>
      </c>
      <c r="U27" s="34">
        <f t="shared" si="36"/>
        <v>0.76810810810810803</v>
      </c>
      <c r="V27" s="34">
        <f t="shared" si="36"/>
        <v>0.76810810810810803</v>
      </c>
      <c r="W27" s="241"/>
      <c r="X27" s="62">
        <f t="shared" si="31"/>
        <v>0.76810810810810803</v>
      </c>
      <c r="Y27" s="62">
        <f t="shared" si="32"/>
        <v>0.76810810810810803</v>
      </c>
      <c r="Z27" s="62">
        <f t="shared" si="33"/>
        <v>0.76810810810810803</v>
      </c>
      <c r="AA27" s="62">
        <f t="shared" si="34"/>
        <v>0.76810810810810803</v>
      </c>
      <c r="AB27" s="62">
        <f t="shared" si="35"/>
        <v>0.76810810810810803</v>
      </c>
      <c r="AC27" s="70">
        <f>IF(INDEX($BH$4:$BH$7,MATCH($D$3,$BB$4:$BB$7,0)),AA27*$B$27,AA27)</f>
        <v>0.74890540540540529</v>
      </c>
      <c r="AD27" s="70">
        <f>IF(INDEX($BH$4:$BH$7,MATCH($D$3,$BB$4:$BB$7,0)),AC27*$B$27,AC27)</f>
        <v>0.73018277027027012</v>
      </c>
      <c r="AE27" s="70">
        <f>IF(INDEX($BH$4:$BH$7,MATCH($D$3,$BB$4:$BB$7,0)),AD27*$B$27,AD27)</f>
        <v>0.7119282010135134</v>
      </c>
      <c r="AF27" s="241"/>
      <c r="AG27" s="241"/>
      <c r="AH27" s="241"/>
      <c r="AI27" s="241"/>
      <c r="AJ27" s="241"/>
      <c r="AK27" s="241"/>
      <c r="AL27" s="241"/>
      <c r="AM27" s="241"/>
      <c r="AN27" s="241"/>
      <c r="AO27" s="241"/>
      <c r="AP27" s="241"/>
      <c r="AQ27" s="241"/>
      <c r="AR27" s="241"/>
      <c r="AS27" s="241"/>
      <c r="AT27" s="241"/>
      <c r="AU27" s="241"/>
    </row>
    <row r="28" spans="1:57">
      <c r="A28" s="185" t="s">
        <v>16</v>
      </c>
      <c r="B28" s="228"/>
      <c r="C28" s="228"/>
      <c r="L28" s="185"/>
      <c r="N28" s="40"/>
      <c r="X28" s="185" t="s">
        <v>200</v>
      </c>
      <c r="AA28" s="190"/>
      <c r="AC28" s="190"/>
      <c r="AD28" s="33"/>
    </row>
    <row r="29" spans="1:57" ht="15.75" thickBot="1">
      <c r="A29" s="185" t="s">
        <v>16</v>
      </c>
      <c r="B29" s="227" t="s">
        <v>188</v>
      </c>
      <c r="D29" s="227"/>
      <c r="E29" s="7">
        <v>2012</v>
      </c>
      <c r="F29" s="7">
        <f>F4</f>
        <v>2015</v>
      </c>
      <c r="G29" s="7">
        <f>G4</f>
        <v>2017</v>
      </c>
      <c r="H29" s="7">
        <f t="shared" ref="H29:J29" si="37">H4</f>
        <v>2019</v>
      </c>
      <c r="I29" s="7">
        <f t="shared" si="37"/>
        <v>2020</v>
      </c>
      <c r="J29" s="7">
        <f t="shared" si="37"/>
        <v>2021</v>
      </c>
      <c r="K29" s="7">
        <v>2030</v>
      </c>
      <c r="L29" s="7">
        <v>2040</v>
      </c>
      <c r="M29" s="7">
        <v>2050</v>
      </c>
      <c r="N29" s="40"/>
      <c r="O29" s="7">
        <f>O24</f>
        <v>2015</v>
      </c>
      <c r="P29" s="7">
        <f t="shared" ref="P29:V29" si="38">P24</f>
        <v>2017</v>
      </c>
      <c r="Q29" s="7">
        <f t="shared" si="38"/>
        <v>2019</v>
      </c>
      <c r="R29" s="7">
        <f t="shared" si="38"/>
        <v>2020</v>
      </c>
      <c r="S29" s="7">
        <f t="shared" si="38"/>
        <v>2021</v>
      </c>
      <c r="T29" s="7">
        <f t="shared" si="38"/>
        <v>2030</v>
      </c>
      <c r="U29" s="7">
        <f t="shared" si="38"/>
        <v>2040</v>
      </c>
      <c r="V29" s="7">
        <f t="shared" si="38"/>
        <v>2050</v>
      </c>
      <c r="X29" s="7">
        <f>F29</f>
        <v>2015</v>
      </c>
      <c r="Y29" s="7">
        <f t="shared" ref="Y29:Z29" si="39">G29</f>
        <v>2017</v>
      </c>
      <c r="Z29" s="7">
        <f t="shared" si="39"/>
        <v>2019</v>
      </c>
      <c r="AA29" s="7">
        <f>I29</f>
        <v>2020</v>
      </c>
      <c r="AB29" s="7">
        <f>J29</f>
        <v>2021</v>
      </c>
      <c r="AC29" s="7">
        <f>K29</f>
        <v>2030</v>
      </c>
      <c r="AD29" s="7">
        <f>L29</f>
        <v>2040</v>
      </c>
      <c r="AE29" s="7">
        <f>M29</f>
        <v>2050</v>
      </c>
    </row>
    <row r="30" spans="1:57">
      <c r="A30" s="185" t="s">
        <v>16</v>
      </c>
      <c r="C30" s="228" t="str">
        <f>C25</f>
        <v>Low Income</v>
      </c>
      <c r="D30" s="185" t="s">
        <v>48</v>
      </c>
      <c r="E30" s="49">
        <f>[2]Calib_1011!$H$93</f>
        <v>0.25</v>
      </c>
      <c r="F30" s="61">
        <f>IF($D$4,X30,O30)</f>
        <v>0.25</v>
      </c>
      <c r="G30" s="61">
        <f t="shared" ref="G30:M32" si="40">IF($D$4,Y30,P30)</f>
        <v>0.25</v>
      </c>
      <c r="H30" s="61">
        <f t="shared" si="40"/>
        <v>0.25</v>
      </c>
      <c r="I30" s="61">
        <f t="shared" si="40"/>
        <v>0.25</v>
      </c>
      <c r="J30" s="61">
        <f t="shared" si="40"/>
        <v>0.25</v>
      </c>
      <c r="K30" s="61">
        <f t="shared" si="40"/>
        <v>0.25</v>
      </c>
      <c r="L30" s="61">
        <f t="shared" si="40"/>
        <v>0.25</v>
      </c>
      <c r="M30" s="61">
        <f t="shared" si="40"/>
        <v>0.25</v>
      </c>
      <c r="N30" s="42"/>
      <c r="O30" s="61">
        <f>E30</f>
        <v>0.25</v>
      </c>
      <c r="P30" s="61">
        <f>O30</f>
        <v>0.25</v>
      </c>
      <c r="Q30" s="61">
        <f>P30</f>
        <v>0.25</v>
      </c>
      <c r="R30" s="61">
        <f>Q30</f>
        <v>0.25</v>
      </c>
      <c r="S30" s="61">
        <f>R30</f>
        <v>0.25</v>
      </c>
      <c r="T30" s="46">
        <f t="shared" ref="T30:V30" si="41">S30</f>
        <v>0.25</v>
      </c>
      <c r="U30" s="46">
        <f t="shared" si="41"/>
        <v>0.25</v>
      </c>
      <c r="V30" s="46">
        <f t="shared" si="41"/>
        <v>0.25</v>
      </c>
      <c r="W30" s="229"/>
      <c r="X30" s="62">
        <f>O30</f>
        <v>0.25</v>
      </c>
      <c r="Y30" s="62">
        <f t="shared" ref="Y30:AB30" si="42">P30</f>
        <v>0.25</v>
      </c>
      <c r="Z30" s="62">
        <f t="shared" si="42"/>
        <v>0.25</v>
      </c>
      <c r="AA30" s="62">
        <f t="shared" si="42"/>
        <v>0.25</v>
      </c>
      <c r="AB30" s="62">
        <f t="shared" si="42"/>
        <v>0.25</v>
      </c>
      <c r="AC30" s="71">
        <f>AA30*$B25</f>
        <v>0.23749999999999999</v>
      </c>
      <c r="AD30" s="71">
        <f>AC30*0.95</f>
        <v>0.22562499999999999</v>
      </c>
      <c r="AE30" s="71">
        <f>AD30*0.95</f>
        <v>0.21434374999999997</v>
      </c>
      <c r="AF30" s="229"/>
      <c r="AG30" s="229"/>
      <c r="AH30" s="229"/>
      <c r="AI30" s="229"/>
      <c r="AJ30" s="229"/>
      <c r="AK30" s="229"/>
      <c r="AL30" s="229"/>
      <c r="AM30" s="229"/>
      <c r="AN30" s="229"/>
      <c r="AO30" s="229"/>
      <c r="AP30" s="229"/>
      <c r="AQ30" s="229"/>
      <c r="AR30" s="229"/>
      <c r="AS30" s="229"/>
      <c r="AT30" s="229"/>
      <c r="AU30" s="229"/>
    </row>
    <row r="31" spans="1:57">
      <c r="A31" s="185" t="s">
        <v>16</v>
      </c>
      <c r="C31" s="228" t="str">
        <f>C26</f>
        <v>Middle Income</v>
      </c>
      <c r="D31" s="185" t="s">
        <v>48</v>
      </c>
      <c r="E31" s="49">
        <f>[2]Calib_1011!$I$93</f>
        <v>0.31311637080867849</v>
      </c>
      <c r="F31" s="61">
        <f t="shared" ref="F31:F32" si="43">IF($D$4,X31,O31)</f>
        <v>0.31311637080867849</v>
      </c>
      <c r="G31" s="61">
        <f t="shared" si="40"/>
        <v>0.31311637080867849</v>
      </c>
      <c r="H31" s="61">
        <f t="shared" si="40"/>
        <v>0.31311637080867849</v>
      </c>
      <c r="I31" s="61">
        <f t="shared" si="40"/>
        <v>0.31311637080867849</v>
      </c>
      <c r="J31" s="61">
        <f t="shared" si="40"/>
        <v>0.31311637080867849</v>
      </c>
      <c r="K31" s="61">
        <f t="shared" si="40"/>
        <v>0.31311637080867849</v>
      </c>
      <c r="L31" s="61">
        <f t="shared" si="40"/>
        <v>0.31311637080867849</v>
      </c>
      <c r="M31" s="61">
        <f t="shared" si="40"/>
        <v>0.31311637080867849</v>
      </c>
      <c r="N31" s="42"/>
      <c r="O31" s="61">
        <f t="shared" ref="O31:O32" si="44">E31</f>
        <v>0.31311637080867849</v>
      </c>
      <c r="P31" s="61">
        <f t="shared" ref="P31:Q32" si="45">O31</f>
        <v>0.31311637080867849</v>
      </c>
      <c r="Q31" s="61">
        <f t="shared" si="45"/>
        <v>0.31311637080867849</v>
      </c>
      <c r="R31" s="61">
        <f>Q31</f>
        <v>0.31311637080867849</v>
      </c>
      <c r="S31" s="61">
        <f>R31</f>
        <v>0.31311637080867849</v>
      </c>
      <c r="T31" s="46">
        <f t="shared" ref="T31:V31" si="46">S31</f>
        <v>0.31311637080867849</v>
      </c>
      <c r="U31" s="46">
        <f t="shared" si="46"/>
        <v>0.31311637080867849</v>
      </c>
      <c r="V31" s="46">
        <f t="shared" si="46"/>
        <v>0.31311637080867849</v>
      </c>
      <c r="W31" s="229"/>
      <c r="X31" s="62">
        <f t="shared" ref="X31:X32" si="47">O31</f>
        <v>0.31311637080867849</v>
      </c>
      <c r="Y31" s="62">
        <f t="shared" ref="Y31:Y32" si="48">P31</f>
        <v>0.31311637080867849</v>
      </c>
      <c r="Z31" s="62">
        <f t="shared" ref="Z31:Z32" si="49">Q31</f>
        <v>0.31311637080867849</v>
      </c>
      <c r="AA31" s="62">
        <f t="shared" ref="AA31:AA32" si="50">R31</f>
        <v>0.31311637080867849</v>
      </c>
      <c r="AB31" s="62">
        <f t="shared" ref="AB31:AB32" si="51">S31</f>
        <v>0.31311637080867849</v>
      </c>
      <c r="AC31" s="70">
        <f>IF(INDEX($BH$4:$BH$7,MATCH($D$3,$BB$4:$BB$7,0)),AA31*$B$26,AA31)</f>
        <v>0.29746055226824453</v>
      </c>
      <c r="AD31" s="70">
        <f t="shared" ref="AD31" si="52">IF(INDEX($BH$4:$BH$7,MATCH($D$3,$BB$4:$BB$7,0)),AB31*$B$26,AB31)</f>
        <v>0.29746055226824453</v>
      </c>
      <c r="AE31" s="70">
        <f>IF(INDEX($BH$4:$BH$7,MATCH($D$3,$BB$4:$BB$7,0)),AC31*$B$26,AC31)</f>
        <v>0.28258752465483228</v>
      </c>
      <c r="AF31" s="229"/>
      <c r="AG31" s="229"/>
      <c r="AH31" s="229"/>
      <c r="AI31" s="229"/>
      <c r="AJ31" s="229"/>
      <c r="AK31" s="229"/>
      <c r="AL31" s="229"/>
      <c r="AM31" s="229"/>
      <c r="AN31" s="229"/>
      <c r="AO31" s="229"/>
      <c r="AP31" s="229"/>
      <c r="AQ31" s="229"/>
      <c r="AR31" s="229"/>
      <c r="AS31" s="229"/>
      <c r="AT31" s="229"/>
      <c r="AU31" s="229"/>
    </row>
    <row r="32" spans="1:57">
      <c r="A32" s="185" t="s">
        <v>16</v>
      </c>
      <c r="C32" s="228" t="str">
        <f>C27</f>
        <v>High Income</v>
      </c>
      <c r="D32" s="185" t="s">
        <v>48</v>
      </c>
      <c r="E32" s="49">
        <f>[2]Calib_1011!$J$93</f>
        <v>0.41283463855351005</v>
      </c>
      <c r="F32" s="61">
        <f t="shared" si="43"/>
        <v>0.41283463855351005</v>
      </c>
      <c r="G32" s="61">
        <f t="shared" si="40"/>
        <v>0.41283463855351005</v>
      </c>
      <c r="H32" s="61">
        <f t="shared" si="40"/>
        <v>0.41283463855351005</v>
      </c>
      <c r="I32" s="61">
        <f t="shared" si="40"/>
        <v>0.40790316676191524</v>
      </c>
      <c r="J32" s="61">
        <f t="shared" si="40"/>
        <v>0.41325154744498233</v>
      </c>
      <c r="K32" s="61">
        <f t="shared" si="40"/>
        <v>0.42080265545477441</v>
      </c>
      <c r="L32" s="61">
        <f t="shared" si="40"/>
        <v>0.4455787384984683</v>
      </c>
      <c r="M32" s="61">
        <f t="shared" si="40"/>
        <v>0.4757137128656545</v>
      </c>
      <c r="N32" s="42"/>
      <c r="O32" s="61">
        <f t="shared" si="44"/>
        <v>0.41283463855351005</v>
      </c>
      <c r="P32" s="61">
        <f t="shared" si="45"/>
        <v>0.41283463855351005</v>
      </c>
      <c r="Q32" s="61">
        <f t="shared" si="45"/>
        <v>0.41283463855351005</v>
      </c>
      <c r="R32" s="61">
        <f>Q32*(1+R21*(I21/F21-1))</f>
        <v>0.40790316676191524</v>
      </c>
      <c r="S32" s="61">
        <f>R32*(1+S21*(J21/G21-1))</f>
        <v>0.41325154744498233</v>
      </c>
      <c r="T32" s="46">
        <f>S32*(1+T21*(K21/J21-1))</f>
        <v>0.42080265545477441</v>
      </c>
      <c r="U32" s="46">
        <f t="shared" ref="U32:V32" si="53">T32*(1+U21*(L21/K21-1))</f>
        <v>0.4455787384984683</v>
      </c>
      <c r="V32" s="46">
        <f t="shared" si="53"/>
        <v>0.4757137128656545</v>
      </c>
      <c r="W32" s="229"/>
      <c r="X32" s="62">
        <f t="shared" si="47"/>
        <v>0.41283463855351005</v>
      </c>
      <c r="Y32" s="62">
        <f t="shared" si="48"/>
        <v>0.41283463855351005</v>
      </c>
      <c r="Z32" s="62">
        <f t="shared" si="49"/>
        <v>0.41283463855351005</v>
      </c>
      <c r="AA32" s="62">
        <f t="shared" si="50"/>
        <v>0.40790316676191524</v>
      </c>
      <c r="AB32" s="62">
        <f t="shared" si="51"/>
        <v>0.41325154744498233</v>
      </c>
      <c r="AC32" s="70">
        <f>IF(INDEX($BH$4:$BH$7,MATCH($D$3,$BB$4:$BB$7,0)),AA32*$B$27,AA32)</f>
        <v>0.39770558759286734</v>
      </c>
      <c r="AD32" s="70">
        <f>IF(INDEX($BH$4:$BH$7,MATCH($D$3,$BB$4:$BB$7,0)),AC32*$B$27,AC32)</f>
        <v>0.38776294790304566</v>
      </c>
      <c r="AE32" s="70">
        <f>IF(INDEX($BH$4:$BH$7,MATCH($D$3,$BB$4:$BB$7,0)),AD32*$B$27,AD32)</f>
        <v>0.37806887420546953</v>
      </c>
      <c r="AF32" s="229"/>
      <c r="AG32" s="229"/>
      <c r="AH32" s="229"/>
      <c r="AI32" s="229"/>
      <c r="AJ32" s="229"/>
      <c r="AK32" s="229"/>
      <c r="AL32" s="229"/>
      <c r="AM32" s="229"/>
      <c r="AN32" s="229"/>
      <c r="AO32" s="229"/>
      <c r="AP32" s="229"/>
      <c r="AQ32" s="229"/>
      <c r="AR32" s="229"/>
      <c r="AS32" s="229"/>
      <c r="AT32" s="229"/>
      <c r="AU32" s="229"/>
    </row>
    <row r="33" spans="1:47">
      <c r="A33" s="185" t="s">
        <v>16</v>
      </c>
      <c r="C33" s="228"/>
      <c r="L33" s="185"/>
      <c r="N33" s="42"/>
      <c r="O33" s="186"/>
      <c r="W33" s="229"/>
      <c r="X33" s="185" t="s">
        <v>201</v>
      </c>
      <c r="AF33" s="229"/>
      <c r="AG33" s="229"/>
      <c r="AH33" s="229"/>
      <c r="AI33" s="229"/>
      <c r="AJ33" s="229"/>
      <c r="AK33" s="229"/>
      <c r="AL33" s="229"/>
      <c r="AM33" s="229"/>
      <c r="AN33" s="229"/>
      <c r="AO33" s="229"/>
      <c r="AP33" s="229"/>
      <c r="AQ33" s="229"/>
      <c r="AR33" s="229"/>
      <c r="AS33" s="229"/>
      <c r="AT33" s="229"/>
      <c r="AU33" s="229"/>
    </row>
    <row r="34" spans="1:47" ht="15.75" thickBot="1">
      <c r="A34" s="185" t="s">
        <v>16</v>
      </c>
      <c r="B34" s="227" t="s">
        <v>189</v>
      </c>
      <c r="D34" s="254">
        <f>INDEX($BJ$4:$BJ$7,MATCH($D$3,$BB$4:$BB$7,0))</f>
        <v>0</v>
      </c>
      <c r="E34" s="7">
        <v>2012</v>
      </c>
      <c r="F34" s="7">
        <f>F4</f>
        <v>2015</v>
      </c>
      <c r="G34" s="7">
        <f>G4</f>
        <v>2017</v>
      </c>
      <c r="H34" s="7">
        <f t="shared" ref="H34:J34" si="54">H4</f>
        <v>2019</v>
      </c>
      <c r="I34" s="7">
        <f t="shared" si="54"/>
        <v>2020</v>
      </c>
      <c r="J34" s="7">
        <f t="shared" si="54"/>
        <v>2021</v>
      </c>
      <c r="K34" s="7">
        <v>2030</v>
      </c>
      <c r="L34" s="7">
        <v>2040</v>
      </c>
      <c r="M34" s="7">
        <v>2050</v>
      </c>
      <c r="N34" s="40"/>
      <c r="O34" s="7">
        <f>O29</f>
        <v>2015</v>
      </c>
      <c r="P34" s="7">
        <f t="shared" ref="P34:T34" si="55">P29</f>
        <v>2017</v>
      </c>
      <c r="Q34" s="7">
        <f t="shared" si="55"/>
        <v>2019</v>
      </c>
      <c r="R34" s="7">
        <f t="shared" si="55"/>
        <v>2020</v>
      </c>
      <c r="S34" s="7">
        <f t="shared" si="55"/>
        <v>2021</v>
      </c>
      <c r="T34" s="7">
        <f t="shared" si="55"/>
        <v>2030</v>
      </c>
      <c r="U34" s="7">
        <f>L34</f>
        <v>2040</v>
      </c>
      <c r="V34" s="7">
        <f>M34</f>
        <v>2050</v>
      </c>
      <c r="W34" s="229"/>
      <c r="X34" s="7">
        <f>F34</f>
        <v>2015</v>
      </c>
      <c r="Y34" s="7">
        <f t="shared" ref="Y34:Z34" si="56">G34</f>
        <v>2017</v>
      </c>
      <c r="Z34" s="7">
        <f t="shared" si="56"/>
        <v>2019</v>
      </c>
      <c r="AA34" s="7">
        <f>I34</f>
        <v>2020</v>
      </c>
      <c r="AB34" s="7">
        <f>J34</f>
        <v>2021</v>
      </c>
      <c r="AC34" s="7">
        <f>K34</f>
        <v>2030</v>
      </c>
      <c r="AD34" s="7">
        <f>L34</f>
        <v>2040</v>
      </c>
      <c r="AE34" s="7">
        <f>M34</f>
        <v>2050</v>
      </c>
    </row>
    <row r="35" spans="1:47">
      <c r="A35" s="185" t="s">
        <v>16</v>
      </c>
      <c r="C35" s="228" t="str">
        <f>C30</f>
        <v>Low Income</v>
      </c>
      <c r="D35" s="185" t="s">
        <v>96</v>
      </c>
      <c r="E35" s="49">
        <f>[2]Calib_1011!$H$113</f>
        <v>1.4</v>
      </c>
      <c r="F35" s="61">
        <f>IF($D$4,X35,O35)</f>
        <v>1.4</v>
      </c>
      <c r="G35" s="61">
        <f t="shared" ref="G35:M38" si="57">IF($D$4,Y35,P35)</f>
        <v>1.4</v>
      </c>
      <c r="H35" s="61">
        <f t="shared" si="57"/>
        <v>1.4</v>
      </c>
      <c r="I35" s="61">
        <f t="shared" si="57"/>
        <v>1.4</v>
      </c>
      <c r="J35" s="61">
        <f t="shared" si="57"/>
        <v>1.4</v>
      </c>
      <c r="K35" s="61">
        <f t="shared" si="57"/>
        <v>1.4</v>
      </c>
      <c r="L35" s="61">
        <f t="shared" si="57"/>
        <v>1.4</v>
      </c>
      <c r="M35" s="61">
        <f t="shared" si="57"/>
        <v>1.4</v>
      </c>
      <c r="N35" s="42"/>
      <c r="O35" s="61">
        <f>E35</f>
        <v>1.4</v>
      </c>
      <c r="P35" s="61">
        <f>O35</f>
        <v>1.4</v>
      </c>
      <c r="Q35" s="61">
        <f t="shared" ref="Q35:V35" si="58">P35</f>
        <v>1.4</v>
      </c>
      <c r="R35" s="61">
        <f t="shared" si="58"/>
        <v>1.4</v>
      </c>
      <c r="S35" s="61">
        <f t="shared" ref="S35" si="59">R35</f>
        <v>1.4</v>
      </c>
      <c r="T35" s="46">
        <f t="shared" si="58"/>
        <v>1.4</v>
      </c>
      <c r="U35" s="46">
        <f t="shared" si="58"/>
        <v>1.4</v>
      </c>
      <c r="V35" s="46">
        <f t="shared" si="58"/>
        <v>1.4</v>
      </c>
      <c r="W35" s="229"/>
      <c r="X35" s="61">
        <f>O35</f>
        <v>1.4</v>
      </c>
      <c r="Y35" s="61">
        <f t="shared" ref="Y35:AB35" si="60">P35</f>
        <v>1.4</v>
      </c>
      <c r="Z35" s="61">
        <f t="shared" si="60"/>
        <v>1.4</v>
      </c>
      <c r="AA35" s="61">
        <f t="shared" si="60"/>
        <v>1.4</v>
      </c>
      <c r="AB35" s="61">
        <f t="shared" si="60"/>
        <v>1.4</v>
      </c>
      <c r="AC35" s="71">
        <f>AA35*(1+$D$34)</f>
        <v>1.4</v>
      </c>
      <c r="AD35" s="71">
        <f t="shared" ref="AD35:AE38" si="61">AC35*(1+$D$34)</f>
        <v>1.4</v>
      </c>
      <c r="AE35" s="71">
        <f t="shared" si="61"/>
        <v>1.4</v>
      </c>
      <c r="AF35" s="229"/>
      <c r="AG35" s="229"/>
      <c r="AH35" s="229"/>
      <c r="AI35" s="229"/>
      <c r="AJ35" s="229"/>
      <c r="AK35" s="229"/>
      <c r="AL35" s="229"/>
      <c r="AM35" s="229"/>
      <c r="AN35" s="229"/>
      <c r="AO35" s="229"/>
      <c r="AP35" s="229"/>
      <c r="AQ35" s="229"/>
      <c r="AR35" s="229"/>
      <c r="AS35" s="229"/>
      <c r="AT35" s="229"/>
      <c r="AU35" s="229"/>
    </row>
    <row r="36" spans="1:47">
      <c r="A36" s="185" t="s">
        <v>16</v>
      </c>
      <c r="C36" s="228" t="str">
        <f>C31</f>
        <v>Middle Income</v>
      </c>
      <c r="D36" s="185" t="s">
        <v>96</v>
      </c>
      <c r="E36" s="49">
        <f>[2]Calib_1011!$I$113</f>
        <v>1.4</v>
      </c>
      <c r="F36" s="61">
        <f t="shared" ref="F36:F38" si="62">IF($D$4,X36,O36)</f>
        <v>1.4</v>
      </c>
      <c r="G36" s="61">
        <f t="shared" si="57"/>
        <v>1.4</v>
      </c>
      <c r="H36" s="61">
        <f t="shared" si="57"/>
        <v>1.4</v>
      </c>
      <c r="I36" s="61">
        <f t="shared" si="57"/>
        <v>1.4</v>
      </c>
      <c r="J36" s="61">
        <f t="shared" si="57"/>
        <v>1.4</v>
      </c>
      <c r="K36" s="61">
        <f t="shared" si="57"/>
        <v>1.4</v>
      </c>
      <c r="L36" s="61">
        <f t="shared" si="57"/>
        <v>1.4</v>
      </c>
      <c r="M36" s="61">
        <f t="shared" si="57"/>
        <v>1.4</v>
      </c>
      <c r="N36" s="42"/>
      <c r="O36" s="61">
        <f>E36</f>
        <v>1.4</v>
      </c>
      <c r="P36" s="61">
        <f t="shared" ref="P36:V38" si="63">O36</f>
        <v>1.4</v>
      </c>
      <c r="Q36" s="61">
        <f t="shared" si="63"/>
        <v>1.4</v>
      </c>
      <c r="R36" s="61">
        <f t="shared" si="63"/>
        <v>1.4</v>
      </c>
      <c r="S36" s="61">
        <f t="shared" ref="S36" si="64">R36</f>
        <v>1.4</v>
      </c>
      <c r="T36" s="46">
        <f t="shared" si="63"/>
        <v>1.4</v>
      </c>
      <c r="U36" s="46">
        <f t="shared" si="63"/>
        <v>1.4</v>
      </c>
      <c r="V36" s="46">
        <f t="shared" si="63"/>
        <v>1.4</v>
      </c>
      <c r="W36" s="229"/>
      <c r="X36" s="61">
        <f t="shared" ref="X36:X38" si="65">O36</f>
        <v>1.4</v>
      </c>
      <c r="Y36" s="61">
        <f t="shared" ref="Y36:Y38" si="66">P36</f>
        <v>1.4</v>
      </c>
      <c r="Z36" s="61">
        <f t="shared" ref="Z36:Z38" si="67">Q36</f>
        <v>1.4</v>
      </c>
      <c r="AA36" s="61">
        <f t="shared" ref="AA36:AA38" si="68">R36</f>
        <v>1.4</v>
      </c>
      <c r="AB36" s="61">
        <f t="shared" ref="AB36:AB38" si="69">S36</f>
        <v>1.4</v>
      </c>
      <c r="AC36" s="71">
        <f>AA36*(1+$D$34)</f>
        <v>1.4</v>
      </c>
      <c r="AD36" s="71">
        <f t="shared" si="61"/>
        <v>1.4</v>
      </c>
      <c r="AE36" s="71">
        <f t="shared" si="61"/>
        <v>1.4</v>
      </c>
      <c r="AF36" s="229"/>
      <c r="AG36" s="229"/>
      <c r="AH36" s="229"/>
      <c r="AI36" s="229"/>
      <c r="AJ36" s="229"/>
      <c r="AK36" s="229"/>
      <c r="AL36" s="229"/>
      <c r="AM36" s="229"/>
      <c r="AN36" s="229"/>
      <c r="AO36" s="229"/>
      <c r="AP36" s="229"/>
      <c r="AQ36" s="229"/>
      <c r="AR36" s="229"/>
      <c r="AS36" s="229"/>
      <c r="AT36" s="229"/>
      <c r="AU36" s="229"/>
    </row>
    <row r="37" spans="1:47">
      <c r="A37" s="185" t="s">
        <v>16</v>
      </c>
      <c r="C37" s="228" t="str">
        <f>C32</f>
        <v>High Income</v>
      </c>
      <c r="D37" s="185" t="s">
        <v>96</v>
      </c>
      <c r="E37" s="49">
        <f>[2]Calib_1011!$J$113</f>
        <v>1.4</v>
      </c>
      <c r="F37" s="61">
        <f t="shared" si="62"/>
        <v>1.4</v>
      </c>
      <c r="G37" s="61">
        <f t="shared" si="57"/>
        <v>1.4</v>
      </c>
      <c r="H37" s="61">
        <f t="shared" si="57"/>
        <v>1.4</v>
      </c>
      <c r="I37" s="61">
        <f t="shared" si="57"/>
        <v>1.4</v>
      </c>
      <c r="J37" s="61">
        <f t="shared" si="57"/>
        <v>1.4</v>
      </c>
      <c r="K37" s="61">
        <f t="shared" si="57"/>
        <v>1.4</v>
      </c>
      <c r="L37" s="61">
        <f t="shared" si="57"/>
        <v>1.4</v>
      </c>
      <c r="M37" s="61">
        <f t="shared" si="57"/>
        <v>1.4</v>
      </c>
      <c r="N37" s="42"/>
      <c r="O37" s="61">
        <f>E37</f>
        <v>1.4</v>
      </c>
      <c r="P37" s="61">
        <f t="shared" si="63"/>
        <v>1.4</v>
      </c>
      <c r="Q37" s="61">
        <f t="shared" si="63"/>
        <v>1.4</v>
      </c>
      <c r="R37" s="61">
        <f t="shared" si="63"/>
        <v>1.4</v>
      </c>
      <c r="S37" s="61">
        <f t="shared" ref="S37" si="70">R37</f>
        <v>1.4</v>
      </c>
      <c r="T37" s="46">
        <f t="shared" si="63"/>
        <v>1.4</v>
      </c>
      <c r="U37" s="46">
        <f t="shared" si="63"/>
        <v>1.4</v>
      </c>
      <c r="V37" s="46">
        <f t="shared" si="63"/>
        <v>1.4</v>
      </c>
      <c r="W37" s="229"/>
      <c r="X37" s="61">
        <f t="shared" si="65"/>
        <v>1.4</v>
      </c>
      <c r="Y37" s="61">
        <f t="shared" si="66"/>
        <v>1.4</v>
      </c>
      <c r="Z37" s="61">
        <f t="shared" si="67"/>
        <v>1.4</v>
      </c>
      <c r="AA37" s="61">
        <f t="shared" si="68"/>
        <v>1.4</v>
      </c>
      <c r="AB37" s="61">
        <f t="shared" si="69"/>
        <v>1.4</v>
      </c>
      <c r="AC37" s="71">
        <f>AA37*(1+$D$34)</f>
        <v>1.4</v>
      </c>
      <c r="AD37" s="71">
        <f t="shared" si="61"/>
        <v>1.4</v>
      </c>
      <c r="AE37" s="71">
        <f t="shared" si="61"/>
        <v>1.4</v>
      </c>
      <c r="AF37" s="229"/>
      <c r="AG37" s="229"/>
      <c r="AH37" s="229"/>
      <c r="AI37" s="229"/>
      <c r="AJ37" s="229"/>
      <c r="AK37" s="229"/>
      <c r="AL37" s="229"/>
      <c r="AM37" s="229"/>
      <c r="AN37" s="229"/>
      <c r="AO37" s="229"/>
      <c r="AP37" s="229"/>
      <c r="AQ37" s="229"/>
      <c r="AR37" s="229"/>
      <c r="AS37" s="229"/>
      <c r="AT37" s="229"/>
      <c r="AU37" s="229"/>
    </row>
    <row r="38" spans="1:47">
      <c r="A38" s="185" t="s">
        <v>16</v>
      </c>
      <c r="C38" s="228" t="s">
        <v>195</v>
      </c>
      <c r="D38" s="185" t="s">
        <v>96</v>
      </c>
      <c r="E38" s="49">
        <f>[2]Calib_1011!K113</f>
        <v>1.4</v>
      </c>
      <c r="F38" s="61">
        <f t="shared" si="62"/>
        <v>1.4</v>
      </c>
      <c r="G38" s="61">
        <f t="shared" si="57"/>
        <v>1.4</v>
      </c>
      <c r="H38" s="61">
        <f t="shared" si="57"/>
        <v>1.4</v>
      </c>
      <c r="I38" s="61">
        <f t="shared" si="57"/>
        <v>1.4</v>
      </c>
      <c r="J38" s="61">
        <f t="shared" si="57"/>
        <v>1.4</v>
      </c>
      <c r="K38" s="61">
        <f t="shared" si="57"/>
        <v>1.4</v>
      </c>
      <c r="L38" s="61">
        <f t="shared" si="57"/>
        <v>1.4</v>
      </c>
      <c r="M38" s="61">
        <f t="shared" si="57"/>
        <v>1.4</v>
      </c>
      <c r="N38" s="40"/>
      <c r="O38" s="61">
        <f>E38</f>
        <v>1.4</v>
      </c>
      <c r="P38" s="61">
        <f t="shared" si="63"/>
        <v>1.4</v>
      </c>
      <c r="Q38" s="61">
        <f t="shared" si="63"/>
        <v>1.4</v>
      </c>
      <c r="R38" s="61">
        <f t="shared" si="63"/>
        <v>1.4</v>
      </c>
      <c r="S38" s="61">
        <f t="shared" ref="S38" si="71">R38</f>
        <v>1.4</v>
      </c>
      <c r="T38" s="46">
        <f t="shared" si="63"/>
        <v>1.4</v>
      </c>
      <c r="U38" s="46">
        <f t="shared" si="63"/>
        <v>1.4</v>
      </c>
      <c r="V38" s="46">
        <f t="shared" si="63"/>
        <v>1.4</v>
      </c>
      <c r="X38" s="61">
        <f t="shared" si="65"/>
        <v>1.4</v>
      </c>
      <c r="Y38" s="61">
        <f t="shared" si="66"/>
        <v>1.4</v>
      </c>
      <c r="Z38" s="61">
        <f t="shared" si="67"/>
        <v>1.4</v>
      </c>
      <c r="AA38" s="61">
        <f t="shared" si="68"/>
        <v>1.4</v>
      </c>
      <c r="AB38" s="61">
        <f t="shared" si="69"/>
        <v>1.4</v>
      </c>
      <c r="AC38" s="71">
        <f>AA38*(1+$D$34)</f>
        <v>1.4</v>
      </c>
      <c r="AD38" s="71">
        <f t="shared" si="61"/>
        <v>1.4</v>
      </c>
      <c r="AE38" s="71">
        <f t="shared" si="61"/>
        <v>1.4</v>
      </c>
    </row>
    <row r="39" spans="1:47">
      <c r="A39" s="185" t="s">
        <v>16</v>
      </c>
      <c r="C39" s="228"/>
      <c r="L39" s="185"/>
      <c r="N39" s="42"/>
      <c r="O39" s="186"/>
      <c r="P39" s="186"/>
      <c r="Q39" s="186"/>
      <c r="R39" s="186"/>
      <c r="S39" s="186"/>
      <c r="T39" s="186"/>
      <c r="W39" s="229"/>
      <c r="X39" s="185" t="s">
        <v>202</v>
      </c>
      <c r="AF39" s="229"/>
      <c r="AG39" s="229"/>
      <c r="AH39" s="229"/>
      <c r="AI39" s="229"/>
      <c r="AJ39" s="229"/>
      <c r="AK39" s="229"/>
      <c r="AL39" s="229"/>
      <c r="AM39" s="229"/>
      <c r="AN39" s="229"/>
      <c r="AO39" s="229"/>
      <c r="AP39" s="229"/>
      <c r="AQ39" s="229"/>
      <c r="AR39" s="229"/>
      <c r="AS39" s="229"/>
      <c r="AT39" s="229"/>
      <c r="AU39" s="229"/>
    </row>
    <row r="40" spans="1:47" ht="15.75" thickBot="1">
      <c r="A40" s="185" t="s">
        <v>16</v>
      </c>
      <c r="B40" s="227" t="s">
        <v>190</v>
      </c>
      <c r="D40" s="227"/>
      <c r="E40" s="7">
        <v>2012</v>
      </c>
      <c r="F40" s="7">
        <f>F4</f>
        <v>2015</v>
      </c>
      <c r="G40" s="7">
        <f>G4</f>
        <v>2017</v>
      </c>
      <c r="H40" s="7">
        <f t="shared" ref="H40:J40" si="72">H4</f>
        <v>2019</v>
      </c>
      <c r="I40" s="7">
        <f t="shared" si="72"/>
        <v>2020</v>
      </c>
      <c r="J40" s="7">
        <f t="shared" si="72"/>
        <v>2021</v>
      </c>
      <c r="K40" s="7">
        <v>2030</v>
      </c>
      <c r="L40" s="7">
        <v>2040</v>
      </c>
      <c r="M40" s="7">
        <v>2050</v>
      </c>
      <c r="N40" s="302" t="s">
        <v>655</v>
      </c>
      <c r="O40" s="7">
        <f>O34</f>
        <v>2015</v>
      </c>
      <c r="P40" s="7">
        <f t="shared" ref="P40:V40" si="73">P34</f>
        <v>2017</v>
      </c>
      <c r="Q40" s="7">
        <f t="shared" si="73"/>
        <v>2019</v>
      </c>
      <c r="R40" s="7">
        <f t="shared" si="73"/>
        <v>2020</v>
      </c>
      <c r="S40" s="7">
        <f t="shared" si="73"/>
        <v>2021</v>
      </c>
      <c r="T40" s="7">
        <f t="shared" si="73"/>
        <v>2030</v>
      </c>
      <c r="U40" s="7">
        <f t="shared" si="73"/>
        <v>2040</v>
      </c>
      <c r="V40" s="7">
        <f t="shared" si="73"/>
        <v>2050</v>
      </c>
      <c r="X40" s="7">
        <f>F40</f>
        <v>2015</v>
      </c>
      <c r="Y40" s="7">
        <f t="shared" ref="Y40:Z40" si="74">G40</f>
        <v>2017</v>
      </c>
      <c r="Z40" s="7">
        <f t="shared" si="74"/>
        <v>2019</v>
      </c>
      <c r="AA40" s="7">
        <f>I40</f>
        <v>2020</v>
      </c>
      <c r="AB40" s="7">
        <f>J40</f>
        <v>2021</v>
      </c>
      <c r="AC40" s="7">
        <f>K40</f>
        <v>2030</v>
      </c>
      <c r="AD40" s="7">
        <f>L40</f>
        <v>2040</v>
      </c>
      <c r="AE40" s="7">
        <f>M40</f>
        <v>2050</v>
      </c>
    </row>
    <row r="41" spans="1:47">
      <c r="A41" s="185" t="s">
        <v>16</v>
      </c>
      <c r="B41" s="193">
        <f>INDEX($BG$4:$BG$7,MATCH($D$3,$BB$4:$BB$7,0))</f>
        <v>0.95</v>
      </c>
      <c r="C41" s="228" t="str">
        <f>C35</f>
        <v>Low Income</v>
      </c>
      <c r="D41" s="35" t="s">
        <v>171</v>
      </c>
      <c r="E41" s="49">
        <f>[2]Calib_1011!$H$118</f>
        <v>8.0274119837508469</v>
      </c>
      <c r="F41" s="61">
        <f>IF($D$4,X41,O41)</f>
        <v>8.0274119837508469</v>
      </c>
      <c r="G41" s="61">
        <f t="shared" ref="G41:M44" si="75">IF($D$4,Y41,P41)</f>
        <v>8.0274119837508469</v>
      </c>
      <c r="H41" s="61">
        <f t="shared" si="75"/>
        <v>8.0274119837508469</v>
      </c>
      <c r="I41" s="61">
        <f t="shared" si="75"/>
        <v>8.0274119837508469</v>
      </c>
      <c r="J41" s="61">
        <f t="shared" si="75"/>
        <v>8.0274119837508469</v>
      </c>
      <c r="K41" s="61">
        <f t="shared" si="75"/>
        <v>8.0274119837508469</v>
      </c>
      <c r="L41" s="61">
        <f t="shared" si="75"/>
        <v>8.0274119837508469</v>
      </c>
      <c r="M41" s="61">
        <f t="shared" si="75"/>
        <v>8.0274119837508469</v>
      </c>
      <c r="N41" s="303">
        <v>1</v>
      </c>
      <c r="O41" s="61">
        <f>E41</f>
        <v>8.0274119837508469</v>
      </c>
      <c r="P41" s="186">
        <f>O41</f>
        <v>8.0274119837508469</v>
      </c>
      <c r="Q41" s="185">
        <f t="shared" ref="Q41:V41" si="76">P41</f>
        <v>8.0274119837508469</v>
      </c>
      <c r="R41" s="61">
        <f>Q41*$N41</f>
        <v>8.0274119837508469</v>
      </c>
      <c r="S41" s="61">
        <f>Q41</f>
        <v>8.0274119837508469</v>
      </c>
      <c r="T41" s="46">
        <f t="shared" si="76"/>
        <v>8.0274119837508469</v>
      </c>
      <c r="U41" s="46">
        <f t="shared" si="76"/>
        <v>8.0274119837508469</v>
      </c>
      <c r="V41" s="46">
        <f t="shared" si="76"/>
        <v>8.0274119837508469</v>
      </c>
      <c r="X41" s="61">
        <f>O41</f>
        <v>8.0274119837508469</v>
      </c>
      <c r="Y41" s="61">
        <f t="shared" ref="Y41:AB41" si="77">P41</f>
        <v>8.0274119837508469</v>
      </c>
      <c r="Z41" s="61">
        <f t="shared" si="77"/>
        <v>8.0274119837508469</v>
      </c>
      <c r="AA41" s="61">
        <f t="shared" si="77"/>
        <v>8.0274119837508469</v>
      </c>
      <c r="AB41" s="61">
        <f t="shared" si="77"/>
        <v>8.0274119837508469</v>
      </c>
      <c r="AC41" s="71">
        <f t="shared" ref="AC41:AE43" si="78">AB41*$B41</f>
        <v>7.6260413845633037</v>
      </c>
      <c r="AD41" s="71">
        <f t="shared" si="78"/>
        <v>7.2447393153351385</v>
      </c>
      <c r="AE41" s="71">
        <f t="shared" si="78"/>
        <v>6.882502349568381</v>
      </c>
      <c r="AF41" s="229"/>
      <c r="AG41" s="229"/>
      <c r="AH41" s="229"/>
      <c r="AI41" s="229"/>
      <c r="AJ41" s="229"/>
      <c r="AK41" s="229"/>
      <c r="AL41" s="229"/>
      <c r="AM41" s="229"/>
      <c r="AN41" s="229"/>
      <c r="AO41" s="229"/>
      <c r="AP41" s="229"/>
      <c r="AQ41" s="229"/>
      <c r="AR41" s="229"/>
      <c r="AS41" s="229"/>
      <c r="AT41" s="229"/>
      <c r="AU41" s="229"/>
    </row>
    <row r="42" spans="1:47">
      <c r="A42" s="185" t="s">
        <v>16</v>
      </c>
      <c r="B42" s="193">
        <f>INDEX($BF$4:$BF$7,MATCH($D$3,$BB$4:$BB$7,0))</f>
        <v>0.95</v>
      </c>
      <c r="C42" s="228" t="str">
        <f>C36</f>
        <v>Middle Income</v>
      </c>
      <c r="D42" s="35" t="s">
        <v>171</v>
      </c>
      <c r="E42" s="49">
        <f>[2]Calib_1011!$I$118</f>
        <v>13.418073439870216</v>
      </c>
      <c r="F42" s="61">
        <f>IF($D$4,X42,O42)</f>
        <v>13.418073439870216</v>
      </c>
      <c r="G42" s="61">
        <f t="shared" si="75"/>
        <v>13.418073439870216</v>
      </c>
      <c r="H42" s="61">
        <f t="shared" si="75"/>
        <v>13.418073439870216</v>
      </c>
      <c r="I42" s="61">
        <f t="shared" si="75"/>
        <v>13.418073439870216</v>
      </c>
      <c r="J42" s="61">
        <f t="shared" si="75"/>
        <v>13.418073439870216</v>
      </c>
      <c r="K42" s="61">
        <f t="shared" si="75"/>
        <v>13.418073439870216</v>
      </c>
      <c r="L42" s="61">
        <f t="shared" si="75"/>
        <v>13.418073439870216</v>
      </c>
      <c r="M42" s="61">
        <f t="shared" si="75"/>
        <v>13.418073439870216</v>
      </c>
      <c r="N42" s="303">
        <v>1</v>
      </c>
      <c r="O42" s="61">
        <f t="shared" ref="O42:O44" si="79">E42</f>
        <v>13.418073439870216</v>
      </c>
      <c r="P42" s="186">
        <f t="shared" ref="P42:V44" si="80">O42</f>
        <v>13.418073439870216</v>
      </c>
      <c r="Q42" s="185">
        <f t="shared" si="80"/>
        <v>13.418073439870216</v>
      </c>
      <c r="R42" s="61">
        <f t="shared" ref="R42:R44" si="81">Q42*$N42</f>
        <v>13.418073439870216</v>
      </c>
      <c r="S42" s="61">
        <f t="shared" ref="S42:S44" si="82">Q42</f>
        <v>13.418073439870216</v>
      </c>
      <c r="T42" s="180">
        <f>S42</f>
        <v>13.418073439870216</v>
      </c>
      <c r="U42" s="180">
        <f t="shared" si="80"/>
        <v>13.418073439870216</v>
      </c>
      <c r="V42" s="180">
        <f t="shared" si="80"/>
        <v>13.418073439870216</v>
      </c>
      <c r="X42" s="61">
        <f t="shared" ref="X42:X44" si="83">O42</f>
        <v>13.418073439870216</v>
      </c>
      <c r="Y42" s="61">
        <f t="shared" ref="Y42:Y44" si="84">P42</f>
        <v>13.418073439870216</v>
      </c>
      <c r="Z42" s="61">
        <f t="shared" ref="Z42:Z44" si="85">Q42</f>
        <v>13.418073439870216</v>
      </c>
      <c r="AA42" s="61">
        <f t="shared" ref="AA42:AA44" si="86">R42</f>
        <v>13.418073439870216</v>
      </c>
      <c r="AB42" s="61">
        <f t="shared" ref="AB42:AB44" si="87">S42</f>
        <v>13.418073439870216</v>
      </c>
      <c r="AC42" s="71">
        <f t="shared" si="78"/>
        <v>12.747169767876706</v>
      </c>
      <c r="AD42" s="71">
        <f t="shared" si="78"/>
        <v>12.109811279482869</v>
      </c>
      <c r="AE42" s="71">
        <f t="shared" si="78"/>
        <v>11.504320715508726</v>
      </c>
      <c r="AF42" s="229"/>
      <c r="AG42" s="229"/>
      <c r="AH42" s="229"/>
      <c r="AI42" s="229"/>
      <c r="AJ42" s="229"/>
      <c r="AK42" s="229"/>
      <c r="AL42" s="229"/>
      <c r="AM42" s="229"/>
      <c r="AN42" s="229"/>
      <c r="AO42" s="229"/>
      <c r="AP42" s="229"/>
      <c r="AQ42" s="229"/>
      <c r="AR42" s="229"/>
      <c r="AS42" s="229"/>
      <c r="AT42" s="229"/>
      <c r="AU42" s="229"/>
    </row>
    <row r="43" spans="1:47">
      <c r="A43" s="185" t="s">
        <v>16</v>
      </c>
      <c r="B43" s="193">
        <f>INDEX($BE$4:$BE$7,MATCH($D$3,$BB$4:$BB$7,0))</f>
        <v>0.97499999999999998</v>
      </c>
      <c r="C43" s="228" t="str">
        <f>C37</f>
        <v>High Income</v>
      </c>
      <c r="D43" s="35" t="s">
        <v>171</v>
      </c>
      <c r="E43" s="49">
        <f>[2]Calib_1011!$J$118</f>
        <v>15.663966300310799</v>
      </c>
      <c r="F43" s="61">
        <f>IF($D$4,X43,O43)</f>
        <v>15.663966300310799</v>
      </c>
      <c r="G43" s="61">
        <f t="shared" si="75"/>
        <v>15.350686974304583</v>
      </c>
      <c r="H43" s="61">
        <f t="shared" si="75"/>
        <v>15.350686974304583</v>
      </c>
      <c r="I43" s="61">
        <f t="shared" si="75"/>
        <v>15.350686974304583</v>
      </c>
      <c r="J43" s="61">
        <f t="shared" si="75"/>
        <v>15.350686974304583</v>
      </c>
      <c r="K43" s="61">
        <f t="shared" si="75"/>
        <v>15.350686974304583</v>
      </c>
      <c r="L43" s="61">
        <f t="shared" si="75"/>
        <v>15.350686974304583</v>
      </c>
      <c r="M43" s="61">
        <f t="shared" si="75"/>
        <v>15.350686974304583</v>
      </c>
      <c r="N43" s="303">
        <v>1</v>
      </c>
      <c r="O43" s="61">
        <f t="shared" si="79"/>
        <v>15.663966300310799</v>
      </c>
      <c r="P43" s="215">
        <f>O43*0.98</f>
        <v>15.350686974304583</v>
      </c>
      <c r="Q43" s="185">
        <f t="shared" si="80"/>
        <v>15.350686974304583</v>
      </c>
      <c r="R43" s="61">
        <f t="shared" si="81"/>
        <v>15.350686974304583</v>
      </c>
      <c r="S43" s="61">
        <f t="shared" si="82"/>
        <v>15.350686974304583</v>
      </c>
      <c r="T43" s="46">
        <f t="shared" si="80"/>
        <v>15.350686974304583</v>
      </c>
      <c r="U43" s="46">
        <f t="shared" si="80"/>
        <v>15.350686974304583</v>
      </c>
      <c r="V43" s="46">
        <f t="shared" si="80"/>
        <v>15.350686974304583</v>
      </c>
      <c r="X43" s="61">
        <f t="shared" si="83"/>
        <v>15.663966300310799</v>
      </c>
      <c r="Y43" s="61">
        <f t="shared" si="84"/>
        <v>15.350686974304583</v>
      </c>
      <c r="Z43" s="61">
        <f t="shared" si="85"/>
        <v>15.350686974304583</v>
      </c>
      <c r="AA43" s="61">
        <f t="shared" si="86"/>
        <v>15.350686974304583</v>
      </c>
      <c r="AB43" s="61">
        <f t="shared" si="87"/>
        <v>15.350686974304583</v>
      </c>
      <c r="AC43" s="71">
        <f t="shared" si="78"/>
        <v>14.966919799946968</v>
      </c>
      <c r="AD43" s="71">
        <f t="shared" si="78"/>
        <v>14.592746804948293</v>
      </c>
      <c r="AE43" s="71">
        <f t="shared" si="78"/>
        <v>14.227928134824586</v>
      </c>
      <c r="AF43" s="229"/>
      <c r="AG43" s="229"/>
      <c r="AH43" s="229"/>
      <c r="AI43" s="229"/>
      <c r="AJ43" s="229"/>
      <c r="AK43" s="229"/>
      <c r="AL43" s="229"/>
      <c r="AM43" s="229"/>
      <c r="AN43" s="229"/>
      <c r="AO43" s="229"/>
      <c r="AP43" s="229"/>
      <c r="AQ43" s="229"/>
      <c r="AR43" s="229"/>
      <c r="AS43" s="229"/>
      <c r="AT43" s="229"/>
      <c r="AU43" s="229"/>
    </row>
    <row r="44" spans="1:47">
      <c r="A44" s="185" t="s">
        <v>16</v>
      </c>
      <c r="B44" s="193">
        <v>0.95</v>
      </c>
      <c r="C44" s="228" t="s">
        <v>195</v>
      </c>
      <c r="D44" s="35" t="s">
        <v>171</v>
      </c>
      <c r="E44" s="49">
        <f>[2]Calib_1011!$K$118</f>
        <v>13.5</v>
      </c>
      <c r="F44" s="61">
        <f>IF($D$4,X44,O44)</f>
        <v>13.5</v>
      </c>
      <c r="G44" s="61">
        <f t="shared" si="75"/>
        <v>13.5</v>
      </c>
      <c r="H44" s="61">
        <f t="shared" si="75"/>
        <v>13.5</v>
      </c>
      <c r="I44" s="61">
        <f t="shared" si="75"/>
        <v>13.5</v>
      </c>
      <c r="J44" s="61">
        <f t="shared" si="75"/>
        <v>13.5</v>
      </c>
      <c r="K44" s="61">
        <f t="shared" si="75"/>
        <v>13.5</v>
      </c>
      <c r="L44" s="61">
        <f t="shared" si="75"/>
        <v>13.5</v>
      </c>
      <c r="M44" s="61">
        <f t="shared" si="75"/>
        <v>13.5</v>
      </c>
      <c r="N44" s="303">
        <v>1</v>
      </c>
      <c r="O44" s="61">
        <f t="shared" si="79"/>
        <v>13.5</v>
      </c>
      <c r="P44" s="186">
        <f t="shared" si="80"/>
        <v>13.5</v>
      </c>
      <c r="Q44" s="185">
        <f t="shared" si="80"/>
        <v>13.5</v>
      </c>
      <c r="R44" s="61">
        <f t="shared" si="81"/>
        <v>13.5</v>
      </c>
      <c r="S44" s="61">
        <f t="shared" si="82"/>
        <v>13.5</v>
      </c>
      <c r="T44" s="46">
        <f>S44</f>
        <v>13.5</v>
      </c>
      <c r="U44" s="46">
        <f t="shared" si="80"/>
        <v>13.5</v>
      </c>
      <c r="V44" s="46">
        <f t="shared" si="80"/>
        <v>13.5</v>
      </c>
      <c r="X44" s="61">
        <f t="shared" si="83"/>
        <v>13.5</v>
      </c>
      <c r="Y44" s="61">
        <f t="shared" si="84"/>
        <v>13.5</v>
      </c>
      <c r="Z44" s="61">
        <f t="shared" si="85"/>
        <v>13.5</v>
      </c>
      <c r="AA44" s="61">
        <f t="shared" si="86"/>
        <v>13.5</v>
      </c>
      <c r="AB44" s="61">
        <f t="shared" si="87"/>
        <v>13.5</v>
      </c>
      <c r="AC44" s="71">
        <f>AB44*$B44</f>
        <v>12.824999999999999</v>
      </c>
      <c r="AD44" s="71">
        <f t="shared" ref="AD44:AE44" si="88">AC44*$B44</f>
        <v>12.183749999999998</v>
      </c>
      <c r="AE44" s="71">
        <f t="shared" si="88"/>
        <v>11.574562499999997</v>
      </c>
      <c r="AF44" s="229"/>
      <c r="AG44" s="229"/>
      <c r="AH44" s="229"/>
      <c r="AI44" s="229"/>
      <c r="AJ44" s="229"/>
      <c r="AK44" s="229"/>
      <c r="AL44" s="229"/>
      <c r="AM44" s="229"/>
      <c r="AN44" s="229"/>
      <c r="AO44" s="229"/>
      <c r="AP44" s="229"/>
      <c r="AQ44" s="229"/>
      <c r="AR44" s="229"/>
      <c r="AS44" s="229"/>
      <c r="AT44" s="229"/>
      <c r="AU44" s="229"/>
    </row>
    <row r="45" spans="1:47">
      <c r="A45" s="185" t="s">
        <v>16</v>
      </c>
      <c r="C45" s="228" t="s">
        <v>6</v>
      </c>
      <c r="D45" s="35" t="s">
        <v>171</v>
      </c>
      <c r="E45" s="186">
        <f t="shared" ref="E45" si="89">SUMPRODUCT(E41:E44,E54:E57)/SUM(E54:E57)</f>
        <v>14.461189620628934</v>
      </c>
      <c r="F45" s="186">
        <f>SUMPRODUCT(F41:F44,F54:F57)/SUM(F54:F57)</f>
        <v>14.507855120080317</v>
      </c>
      <c r="G45" s="186">
        <f t="shared" ref="G45:L45" si="90">SUMPRODUCT(G41:G44,G54:G57)/SUM(G54:G57)</f>
        <v>14.363348998822714</v>
      </c>
      <c r="H45" s="186">
        <f t="shared" si="90"/>
        <v>14.366373481127646</v>
      </c>
      <c r="I45" s="186">
        <f t="shared" si="90"/>
        <v>14.286041085373691</v>
      </c>
      <c r="J45" s="186">
        <f t="shared" si="90"/>
        <v>14.316738184158663</v>
      </c>
      <c r="K45" s="186">
        <f t="shared" si="90"/>
        <v>14.431188628606842</v>
      </c>
      <c r="L45" s="186">
        <f t="shared" si="90"/>
        <v>14.565366466738926</v>
      </c>
      <c r="M45" s="186">
        <f>SUMPRODUCT(M41:M44,M54:M57)/SUM(M54:M57)</f>
        <v>14.668286273499746</v>
      </c>
      <c r="N45" s="42"/>
      <c r="O45" s="186"/>
      <c r="W45" s="229"/>
      <c r="X45" s="229"/>
      <c r="AA45" s="229"/>
      <c r="AC45" s="229"/>
      <c r="AD45" s="229"/>
      <c r="AE45" s="229"/>
      <c r="AF45" s="229"/>
      <c r="AG45" s="229"/>
      <c r="AH45" s="229"/>
      <c r="AI45" s="229"/>
      <c r="AJ45" s="229"/>
      <c r="AK45" s="229"/>
      <c r="AL45" s="229"/>
      <c r="AM45" s="229"/>
      <c r="AN45" s="229"/>
      <c r="AO45" s="229"/>
      <c r="AP45" s="229"/>
      <c r="AQ45" s="229"/>
      <c r="AR45" s="229"/>
      <c r="AS45" s="229"/>
      <c r="AT45" s="229"/>
      <c r="AU45" s="229"/>
    </row>
    <row r="46" spans="1:47" ht="15.75" thickBot="1">
      <c r="A46" s="185" t="s">
        <v>16</v>
      </c>
      <c r="C46" s="227" t="s">
        <v>161</v>
      </c>
      <c r="D46" s="227"/>
      <c r="E46" s="7"/>
      <c r="F46" s="7"/>
      <c r="G46" s="7"/>
      <c r="H46" s="7"/>
      <c r="I46" s="7"/>
      <c r="J46" s="7"/>
      <c r="K46" s="7"/>
      <c r="L46" s="7"/>
      <c r="M46" s="7"/>
      <c r="N46" s="42"/>
      <c r="O46" s="7"/>
      <c r="P46" s="7"/>
      <c r="Q46" s="7"/>
      <c r="R46" s="7"/>
      <c r="S46" s="7"/>
      <c r="T46" s="7"/>
      <c r="U46" s="7"/>
      <c r="V46" s="7"/>
      <c r="X46" s="7"/>
      <c r="AA46" s="7"/>
      <c r="AC46" s="7"/>
      <c r="AD46" s="7"/>
      <c r="AE46" s="7"/>
      <c r="AF46" s="229"/>
      <c r="AG46" s="229"/>
      <c r="AH46" s="229"/>
      <c r="AI46" s="229"/>
      <c r="AJ46" s="229"/>
      <c r="AK46" s="229"/>
      <c r="AL46" s="229"/>
      <c r="AM46" s="229"/>
      <c r="AN46" s="229"/>
      <c r="AO46" s="229"/>
      <c r="AP46" s="229"/>
      <c r="AQ46" s="229"/>
      <c r="AR46" s="229"/>
      <c r="AS46" s="229"/>
      <c r="AT46" s="229"/>
      <c r="AU46" s="229"/>
    </row>
    <row r="47" spans="1:47">
      <c r="A47" s="185" t="s">
        <v>16</v>
      </c>
      <c r="C47" s="185" t="s">
        <v>13</v>
      </c>
      <c r="E47" s="49">
        <f>FTRA!F7</f>
        <v>135.96</v>
      </c>
      <c r="F47" s="73">
        <f>IF($D$4,X47,O47)</f>
        <v>144.16</v>
      </c>
      <c r="G47" s="73">
        <f t="shared" ref="G47:M51" si="91">IF($D$4,Y47,P47)</f>
        <v>147.16</v>
      </c>
      <c r="H47" s="73">
        <f t="shared" si="91"/>
        <v>149.16999999999999</v>
      </c>
      <c r="I47" s="73">
        <f t="shared" si="91"/>
        <v>138.22</v>
      </c>
      <c r="J47" s="73">
        <f t="shared" si="91"/>
        <v>141.11000000000001</v>
      </c>
      <c r="K47" s="73">
        <f t="shared" si="91"/>
        <v>169.63</v>
      </c>
      <c r="L47" s="73">
        <f t="shared" si="91"/>
        <v>224.36</v>
      </c>
      <c r="M47" s="73">
        <f t="shared" si="91"/>
        <v>309.06</v>
      </c>
      <c r="N47" s="42"/>
      <c r="O47" s="307">
        <f>FTRA!G7</f>
        <v>144.16</v>
      </c>
      <c r="P47" s="307">
        <f>FTRA!H7</f>
        <v>147.16</v>
      </c>
      <c r="Q47" s="307">
        <f>FTRA!I7</f>
        <v>149.16999999999999</v>
      </c>
      <c r="R47" s="307">
        <f>FTRA!J7</f>
        <v>138.22</v>
      </c>
      <c r="S47" s="307">
        <f>FTRA!K7</f>
        <v>141.11000000000001</v>
      </c>
      <c r="T47" s="289">
        <f>FTRA!L7</f>
        <v>169.63</v>
      </c>
      <c r="U47" s="289">
        <f>FTRA!M7</f>
        <v>224.36</v>
      </c>
      <c r="V47" s="289">
        <f>FTRA!N7</f>
        <v>309.06</v>
      </c>
      <c r="W47" s="229"/>
      <c r="X47" s="186">
        <f>FTRA!G7</f>
        <v>144.16</v>
      </c>
      <c r="Y47" s="186">
        <f>FTRA!H7</f>
        <v>147.16</v>
      </c>
      <c r="Z47" s="186">
        <f>FTRA!I7</f>
        <v>149.16999999999999</v>
      </c>
      <c r="AA47" s="186">
        <f>FTRA!J7</f>
        <v>138.22</v>
      </c>
      <c r="AB47" s="186">
        <f>FTRA!K7</f>
        <v>141.11000000000001</v>
      </c>
      <c r="AC47" s="186">
        <f>FTRA!L7</f>
        <v>169.63</v>
      </c>
      <c r="AD47" s="186">
        <f>FTRA!M7</f>
        <v>224.36</v>
      </c>
      <c r="AE47" s="186">
        <f>FTRA!N7</f>
        <v>309.06</v>
      </c>
      <c r="AF47" s="229"/>
      <c r="AG47" s="229"/>
      <c r="AH47" s="229"/>
      <c r="AI47" s="229"/>
      <c r="AJ47" s="229"/>
      <c r="AK47" s="229"/>
      <c r="AL47" s="229"/>
      <c r="AM47" s="229"/>
      <c r="AN47" s="229"/>
      <c r="AO47" s="229"/>
      <c r="AP47" s="229"/>
      <c r="AQ47" s="229"/>
      <c r="AR47" s="229"/>
      <c r="AS47" s="229"/>
      <c r="AT47" s="229"/>
      <c r="AU47" s="229"/>
    </row>
    <row r="48" spans="1:47">
      <c r="A48" s="185" t="s">
        <v>16</v>
      </c>
      <c r="C48" s="185" t="s">
        <v>163</v>
      </c>
      <c r="E48" s="49">
        <v>0.5</v>
      </c>
      <c r="F48" s="73">
        <f>IF($D$4,X48,O48)</f>
        <v>0.5</v>
      </c>
      <c r="G48" s="73">
        <f t="shared" si="91"/>
        <v>0.5</v>
      </c>
      <c r="H48" s="73">
        <f t="shared" si="91"/>
        <v>0.5</v>
      </c>
      <c r="I48" s="73">
        <f t="shared" si="91"/>
        <v>0.5</v>
      </c>
      <c r="J48" s="73">
        <f t="shared" si="91"/>
        <v>0.5</v>
      </c>
      <c r="K48" s="73">
        <f t="shared" si="91"/>
        <v>0.5</v>
      </c>
      <c r="L48" s="73">
        <f t="shared" si="91"/>
        <v>0.5</v>
      </c>
      <c r="M48" s="73">
        <f t="shared" si="91"/>
        <v>0.5</v>
      </c>
      <c r="N48" s="42"/>
      <c r="O48" s="73">
        <f>E48</f>
        <v>0.5</v>
      </c>
      <c r="P48" s="73">
        <f t="shared" ref="P48:V48" si="92">F48</f>
        <v>0.5</v>
      </c>
      <c r="Q48" s="73">
        <f t="shared" si="92"/>
        <v>0.5</v>
      </c>
      <c r="R48" s="73">
        <f t="shared" si="92"/>
        <v>0.5</v>
      </c>
      <c r="S48" s="73">
        <f t="shared" si="92"/>
        <v>0.5</v>
      </c>
      <c r="T48" s="46">
        <f t="shared" si="92"/>
        <v>0.5</v>
      </c>
      <c r="U48" s="46">
        <f t="shared" si="92"/>
        <v>0.5</v>
      </c>
      <c r="V48" s="46">
        <f t="shared" si="92"/>
        <v>0.5</v>
      </c>
      <c r="W48" s="229"/>
      <c r="X48" s="73">
        <f>O48</f>
        <v>0.5</v>
      </c>
      <c r="Y48" s="73">
        <f t="shared" ref="Y48:AB48" si="93">P48</f>
        <v>0.5</v>
      </c>
      <c r="Z48" s="73">
        <f t="shared" si="93"/>
        <v>0.5</v>
      </c>
      <c r="AA48" s="73">
        <f t="shared" si="93"/>
        <v>0.5</v>
      </c>
      <c r="AB48" s="73">
        <f t="shared" si="93"/>
        <v>0.5</v>
      </c>
      <c r="AC48" s="46">
        <f>AB48</f>
        <v>0.5</v>
      </c>
      <c r="AD48" s="46">
        <v>0.4</v>
      </c>
      <c r="AE48" s="46">
        <v>0.3</v>
      </c>
      <c r="AF48" s="229"/>
      <c r="AG48" s="229"/>
      <c r="AH48" s="229"/>
      <c r="AI48" s="229"/>
      <c r="AJ48" s="229"/>
      <c r="AK48" s="229"/>
      <c r="AL48" s="229"/>
      <c r="AM48" s="229"/>
      <c r="AN48" s="229"/>
      <c r="AO48" s="229"/>
      <c r="AP48" s="229"/>
      <c r="AQ48" s="229"/>
      <c r="AR48" s="229"/>
      <c r="AS48" s="229"/>
      <c r="AT48" s="229"/>
      <c r="AU48" s="229"/>
    </row>
    <row r="49" spans="1:47">
      <c r="A49" s="185" t="s">
        <v>16</v>
      </c>
      <c r="C49" s="228" t="s">
        <v>162</v>
      </c>
      <c r="D49" s="185" t="s">
        <v>164</v>
      </c>
      <c r="E49" s="49">
        <f>[2]Calib_1011!$K$116</f>
        <v>0.44857633535499813</v>
      </c>
      <c r="F49" s="73">
        <f t="shared" ref="F49:F51" si="94">IF($D$4,X49,O49)</f>
        <v>0.46210357112254363</v>
      </c>
      <c r="G49" s="73">
        <f t="shared" si="91"/>
        <v>0.46691180750353573</v>
      </c>
      <c r="H49" s="73">
        <f t="shared" si="91"/>
        <v>0.47010048898315682</v>
      </c>
      <c r="I49" s="73">
        <f t="shared" si="91"/>
        <v>0.45284634822306574</v>
      </c>
      <c r="J49" s="73">
        <f t="shared" si="91"/>
        <v>0.45758056160160959</v>
      </c>
      <c r="K49" s="73">
        <f t="shared" si="91"/>
        <v>0.50382178340331718</v>
      </c>
      <c r="L49" s="73">
        <f t="shared" si="91"/>
        <v>0.5850991700851057</v>
      </c>
      <c r="M49" s="73">
        <f t="shared" si="91"/>
        <v>0.69554198454893268</v>
      </c>
      <c r="N49" s="42"/>
      <c r="O49" s="24">
        <f>E49*(1+(O48*(O47/E47-1)))</f>
        <v>0.46210357112254363</v>
      </c>
      <c r="P49" s="24">
        <f t="shared" ref="P49:V49" si="95">F49*(1+(P48*(P47/F47-1)))</f>
        <v>0.46691180750353573</v>
      </c>
      <c r="Q49" s="24">
        <f t="shared" si="95"/>
        <v>0.47010048898315682</v>
      </c>
      <c r="R49" s="73">
        <f t="shared" si="95"/>
        <v>0.45284634822306574</v>
      </c>
      <c r="S49" s="73">
        <f t="shared" si="95"/>
        <v>0.45758056160160959</v>
      </c>
      <c r="T49" s="46">
        <f t="shared" si="95"/>
        <v>0.50382178340331718</v>
      </c>
      <c r="U49" s="46">
        <f t="shared" si="95"/>
        <v>0.5850991700851057</v>
      </c>
      <c r="V49" s="46">
        <f t="shared" si="95"/>
        <v>0.69554198454893268</v>
      </c>
      <c r="W49" s="229"/>
      <c r="X49" s="73">
        <f t="shared" ref="X49:X51" si="96">O49</f>
        <v>0.46210357112254363</v>
      </c>
      <c r="Y49" s="73">
        <f t="shared" ref="Y49:Y51" si="97">P49</f>
        <v>0.46691180750353573</v>
      </c>
      <c r="Z49" s="73">
        <f t="shared" ref="Z49:Z51" si="98">Q49</f>
        <v>0.47010048898315682</v>
      </c>
      <c r="AA49" s="73">
        <f t="shared" ref="AA49:AA51" si="99">R49</f>
        <v>0.45284634822306574</v>
      </c>
      <c r="AB49" s="73">
        <f t="shared" ref="AB49:AB51" si="100">S49</f>
        <v>0.45758056160160959</v>
      </c>
      <c r="AC49" s="46">
        <f>AA49*(1+(AC48*(AC47/AA47-1)))</f>
        <v>0.50430020366253359</v>
      </c>
      <c r="AD49" s="46">
        <f>AC49*(1+(AD48*(AD47/AC47-1)))</f>
        <v>0.56938385666365487</v>
      </c>
      <c r="AE49" s="46">
        <f>AD49*(1+(AE48*(AE47/AD47-1)))</f>
        <v>0.63386969994152731</v>
      </c>
      <c r="AF49" s="229"/>
      <c r="AG49" s="229"/>
      <c r="AH49" s="229"/>
      <c r="AI49" s="229"/>
      <c r="AJ49" s="229"/>
      <c r="AK49" s="229"/>
      <c r="AL49" s="229"/>
      <c r="AM49" s="229"/>
      <c r="AN49" s="229"/>
      <c r="AO49" s="229"/>
      <c r="AP49" s="229"/>
      <c r="AQ49" s="229"/>
      <c r="AR49" s="229"/>
      <c r="AS49" s="229"/>
      <c r="AT49" s="229"/>
      <c r="AU49" s="229"/>
    </row>
    <row r="50" spans="1:47">
      <c r="A50" s="185" t="s">
        <v>16</v>
      </c>
      <c r="C50" s="228" t="s">
        <v>172</v>
      </c>
      <c r="D50" s="185" t="s">
        <v>173</v>
      </c>
      <c r="E50" s="49">
        <f t="shared" ref="E50" si="101">E49*E44</f>
        <v>6.055780527292475</v>
      </c>
      <c r="F50" s="73">
        <f t="shared" si="94"/>
        <v>6.2383982101543394</v>
      </c>
      <c r="G50" s="73">
        <f t="shared" si="91"/>
        <v>6.3033094012977324</v>
      </c>
      <c r="H50" s="73">
        <f t="shared" si="91"/>
        <v>6.3463566012726167</v>
      </c>
      <c r="I50" s="73">
        <f t="shared" si="91"/>
        <v>6.1134257010113879</v>
      </c>
      <c r="J50" s="73">
        <f t="shared" si="91"/>
        <v>6.1773375816217291</v>
      </c>
      <c r="K50" s="73">
        <f t="shared" si="91"/>
        <v>6.8015940759447817</v>
      </c>
      <c r="L50" s="73">
        <f t="shared" si="91"/>
        <v>7.8988387961489268</v>
      </c>
      <c r="M50" s="73">
        <f t="shared" si="91"/>
        <v>9.3898167914105919</v>
      </c>
      <c r="N50" s="42"/>
      <c r="O50" s="186">
        <f>O49*O44</f>
        <v>6.2383982101543394</v>
      </c>
      <c r="P50" s="186">
        <f t="shared" ref="P50:V50" si="102">P49*P44</f>
        <v>6.3033094012977324</v>
      </c>
      <c r="Q50" s="186">
        <f t="shared" si="102"/>
        <v>6.3463566012726167</v>
      </c>
      <c r="R50" s="73">
        <f t="shared" si="102"/>
        <v>6.1134257010113879</v>
      </c>
      <c r="S50" s="73">
        <f t="shared" si="102"/>
        <v>6.1773375816217291</v>
      </c>
      <c r="T50" s="46">
        <f t="shared" si="102"/>
        <v>6.8015940759447817</v>
      </c>
      <c r="U50" s="46">
        <f t="shared" si="102"/>
        <v>7.8988387961489268</v>
      </c>
      <c r="V50" s="46">
        <f t="shared" si="102"/>
        <v>9.3898167914105919</v>
      </c>
      <c r="W50" s="229"/>
      <c r="X50" s="73">
        <f t="shared" si="96"/>
        <v>6.2383982101543394</v>
      </c>
      <c r="Y50" s="73">
        <f t="shared" si="97"/>
        <v>6.3033094012977324</v>
      </c>
      <c r="Z50" s="73">
        <f t="shared" si="98"/>
        <v>6.3463566012726167</v>
      </c>
      <c r="AA50" s="73">
        <f t="shared" si="99"/>
        <v>6.1134257010113879</v>
      </c>
      <c r="AB50" s="73">
        <f t="shared" si="100"/>
        <v>6.1773375816217291</v>
      </c>
      <c r="AC50" s="46">
        <f>AC49*AC44</f>
        <v>6.4676501119719925</v>
      </c>
      <c r="AD50" s="46">
        <f>AD49*AD44</f>
        <v>6.9372305636258043</v>
      </c>
      <c r="AE50" s="46">
        <f>AE49*AE44</f>
        <v>7.3367644588294523</v>
      </c>
      <c r="AF50" s="229"/>
      <c r="AG50" s="229"/>
      <c r="AH50" s="229"/>
      <c r="AI50" s="229"/>
      <c r="AJ50" s="229"/>
      <c r="AK50" s="229"/>
      <c r="AL50" s="229"/>
      <c r="AM50" s="229"/>
      <c r="AN50" s="229"/>
      <c r="AO50" s="229"/>
      <c r="AP50" s="229"/>
      <c r="AQ50" s="229"/>
      <c r="AR50" s="229"/>
      <c r="AS50" s="229"/>
      <c r="AT50" s="229"/>
      <c r="AU50" s="229"/>
    </row>
    <row r="51" spans="1:47">
      <c r="A51" s="185" t="s">
        <v>16</v>
      </c>
      <c r="C51" s="228" t="s">
        <v>174</v>
      </c>
      <c r="D51" s="185" t="s">
        <v>136</v>
      </c>
      <c r="E51" s="49">
        <f t="shared" ref="E51" si="103">E50*E38</f>
        <v>8.4780927382094635</v>
      </c>
      <c r="F51" s="73">
        <f t="shared" si="94"/>
        <v>8.7337574942160749</v>
      </c>
      <c r="G51" s="73">
        <f t="shared" si="91"/>
        <v>8.8246331618168252</v>
      </c>
      <c r="H51" s="73">
        <f t="shared" si="91"/>
        <v>8.8848992417816621</v>
      </c>
      <c r="I51" s="73">
        <f t="shared" si="91"/>
        <v>8.5587959814159422</v>
      </c>
      <c r="J51" s="73">
        <f t="shared" si="91"/>
        <v>8.6482726142704198</v>
      </c>
      <c r="K51" s="73">
        <f t="shared" si="91"/>
        <v>9.5222317063226942</v>
      </c>
      <c r="L51" s="73">
        <f t="shared" si="91"/>
        <v>11.058374314608496</v>
      </c>
      <c r="M51" s="73">
        <f t="shared" si="91"/>
        <v>13.145743507974828</v>
      </c>
      <c r="N51" s="42"/>
      <c r="O51" s="186">
        <f>O50*O38</f>
        <v>8.7337574942160749</v>
      </c>
      <c r="P51" s="186">
        <f t="shared" ref="P51:V51" si="104">P50*P38</f>
        <v>8.8246331618168252</v>
      </c>
      <c r="Q51" s="186">
        <f t="shared" si="104"/>
        <v>8.8848992417816621</v>
      </c>
      <c r="R51" s="73">
        <f>R50*R38</f>
        <v>8.5587959814159422</v>
      </c>
      <c r="S51" s="73">
        <f t="shared" si="104"/>
        <v>8.6482726142704198</v>
      </c>
      <c r="T51" s="46">
        <f t="shared" si="104"/>
        <v>9.5222317063226942</v>
      </c>
      <c r="U51" s="46">
        <f t="shared" si="104"/>
        <v>11.058374314608496</v>
      </c>
      <c r="V51" s="46">
        <f t="shared" si="104"/>
        <v>13.145743507974828</v>
      </c>
      <c r="W51" s="229"/>
      <c r="X51" s="73">
        <f t="shared" si="96"/>
        <v>8.7337574942160749</v>
      </c>
      <c r="Y51" s="73">
        <f t="shared" si="97"/>
        <v>8.8246331618168252</v>
      </c>
      <c r="Z51" s="73">
        <f t="shared" si="98"/>
        <v>8.8848992417816621</v>
      </c>
      <c r="AA51" s="73">
        <f t="shared" si="99"/>
        <v>8.5587959814159422</v>
      </c>
      <c r="AB51" s="73">
        <f t="shared" si="100"/>
        <v>8.6482726142704198</v>
      </c>
      <c r="AC51" s="46">
        <f>AC50*AC38</f>
        <v>9.0547101567607893</v>
      </c>
      <c r="AD51" s="46">
        <f>AD50*AD38</f>
        <v>9.7121227890761261</v>
      </c>
      <c r="AE51" s="46">
        <f>AE50*AE38</f>
        <v>10.271470242361232</v>
      </c>
      <c r="AF51" s="229"/>
      <c r="AG51" s="229"/>
      <c r="AH51" s="229"/>
      <c r="AI51" s="229"/>
      <c r="AJ51" s="229"/>
      <c r="AK51" s="229"/>
      <c r="AL51" s="229"/>
      <c r="AM51" s="229"/>
      <c r="AN51" s="229"/>
      <c r="AO51" s="229"/>
      <c r="AP51" s="229"/>
      <c r="AQ51" s="229"/>
      <c r="AR51" s="229"/>
      <c r="AS51" s="229"/>
      <c r="AT51" s="229"/>
      <c r="AU51" s="229"/>
    </row>
    <row r="52" spans="1:47">
      <c r="A52" s="185" t="s">
        <v>16</v>
      </c>
      <c r="C52" s="228"/>
      <c r="E52" s="30"/>
      <c r="L52" s="185"/>
      <c r="N52" s="40"/>
    </row>
    <row r="53" spans="1:47" ht="15.75" thickBot="1">
      <c r="A53" s="185" t="s">
        <v>16</v>
      </c>
      <c r="B53" s="227" t="s">
        <v>84</v>
      </c>
      <c r="D53" s="227"/>
      <c r="E53" s="7">
        <f>E40</f>
        <v>2012</v>
      </c>
      <c r="F53" s="7">
        <f t="shared" ref="F53:M53" si="105">F40</f>
        <v>2015</v>
      </c>
      <c r="G53" s="7">
        <f t="shared" si="105"/>
        <v>2017</v>
      </c>
      <c r="H53" s="7">
        <f t="shared" si="105"/>
        <v>2019</v>
      </c>
      <c r="I53" s="7">
        <f t="shared" si="105"/>
        <v>2020</v>
      </c>
      <c r="J53" s="7">
        <f t="shared" si="105"/>
        <v>2021</v>
      </c>
      <c r="K53" s="7">
        <f t="shared" si="105"/>
        <v>2030</v>
      </c>
      <c r="L53" s="7">
        <f t="shared" si="105"/>
        <v>2040</v>
      </c>
      <c r="M53" s="7">
        <f t="shared" si="105"/>
        <v>2050</v>
      </c>
      <c r="N53" s="40"/>
      <c r="O53" s="7">
        <f>O40</f>
        <v>2015</v>
      </c>
      <c r="P53" s="7">
        <f t="shared" ref="P53:V53" si="106">P40</f>
        <v>2017</v>
      </c>
      <c r="Q53" s="7">
        <f t="shared" si="106"/>
        <v>2019</v>
      </c>
      <c r="R53" s="7">
        <f t="shared" si="106"/>
        <v>2020</v>
      </c>
      <c r="S53" s="7">
        <f t="shared" si="106"/>
        <v>2021</v>
      </c>
      <c r="T53" s="7">
        <f t="shared" si="106"/>
        <v>2030</v>
      </c>
      <c r="U53" s="7">
        <f t="shared" si="106"/>
        <v>2040</v>
      </c>
      <c r="V53" s="7">
        <f t="shared" si="106"/>
        <v>2050</v>
      </c>
      <c r="X53" s="304">
        <f>X$12</f>
        <v>2015</v>
      </c>
      <c r="Y53" s="304">
        <f t="shared" ref="Y53:AE53" si="107">Y$12</f>
        <v>2017</v>
      </c>
      <c r="Z53" s="304">
        <f t="shared" si="107"/>
        <v>2019</v>
      </c>
      <c r="AA53" s="304">
        <f t="shared" si="107"/>
        <v>2020</v>
      </c>
      <c r="AB53" s="304">
        <f t="shared" si="107"/>
        <v>2021</v>
      </c>
      <c r="AC53" s="304">
        <f t="shared" si="107"/>
        <v>2030</v>
      </c>
      <c r="AD53" s="304">
        <f t="shared" si="107"/>
        <v>2040</v>
      </c>
      <c r="AE53" s="304">
        <f t="shared" si="107"/>
        <v>2050</v>
      </c>
    </row>
    <row r="54" spans="1:47">
      <c r="A54" s="185" t="s">
        <v>16</v>
      </c>
      <c r="C54" s="228" t="str">
        <f>C30</f>
        <v>Low Income</v>
      </c>
      <c r="D54" s="185" t="s">
        <v>67</v>
      </c>
      <c r="E54" s="186">
        <f>E30*E25*E13</f>
        <v>0.13082195391724327</v>
      </c>
      <c r="F54" s="61">
        <f t="shared" ref="F54:F61" si="108">IF($D$4,X54,O54)</f>
        <v>0.13180496609092004</v>
      </c>
      <c r="G54" s="61">
        <f t="shared" ref="G54:G59" si="109">IF($D$4,Y54,P54)</f>
        <v>0.13289382363899763</v>
      </c>
      <c r="H54" s="61">
        <f t="shared" ref="H54:H59" si="110">IF($D$4,Z54,Q54)</f>
        <v>0.13455653512922189</v>
      </c>
      <c r="I54" s="61">
        <f t="shared" ref="I54:I59" si="111">IF($D$4,AA54,R54)</f>
        <v>0.1405579466861536</v>
      </c>
      <c r="J54" s="61">
        <f t="shared" ref="J54:J59" si="112">IF($D$4,AB54,S54)</f>
        <v>0.14638634000992462</v>
      </c>
      <c r="K54" s="61">
        <f t="shared" ref="K54:K59" si="113">IF($D$4,AC54,T54)</f>
        <v>0.13922289430770129</v>
      </c>
      <c r="L54" s="61">
        <f t="shared" ref="L54:L59" si="114">IF($D$4,AD54,U54)</f>
        <v>0.11993097936424922</v>
      </c>
      <c r="M54" s="61">
        <f t="shared" ref="M54:M58" si="115">IF($D$4,AE54,V54)</f>
        <v>9.7966580310109935E-2</v>
      </c>
      <c r="N54" s="42"/>
      <c r="O54" s="186">
        <f t="shared" ref="O54:R56" si="116">O30*O25*O13</f>
        <v>0.13180496609092004</v>
      </c>
      <c r="P54" s="186">
        <f t="shared" si="116"/>
        <v>0.13289382363899763</v>
      </c>
      <c r="Q54" s="186">
        <f t="shared" si="116"/>
        <v>0.13455653512922189</v>
      </c>
      <c r="R54" s="186">
        <f t="shared" si="116"/>
        <v>0.1405579466861536</v>
      </c>
      <c r="S54" s="186">
        <f t="shared" ref="S54:V54" si="117">S30*S25*S13</f>
        <v>0.14638634000992462</v>
      </c>
      <c r="T54" s="46">
        <f t="shared" si="117"/>
        <v>0.13922289430770129</v>
      </c>
      <c r="U54" s="46">
        <f t="shared" si="117"/>
        <v>0.11993097936424922</v>
      </c>
      <c r="V54" s="46">
        <f t="shared" si="117"/>
        <v>9.7966580310109935E-2</v>
      </c>
      <c r="W54" s="229"/>
      <c r="X54" s="186">
        <f t="shared" ref="X54:AB56" si="118">X30*X25*X13</f>
        <v>0.13180496609092004</v>
      </c>
      <c r="Y54" s="186">
        <f t="shared" si="118"/>
        <v>0.13289382363899763</v>
      </c>
      <c r="Z54" s="186">
        <f t="shared" si="118"/>
        <v>0.13455653512922189</v>
      </c>
      <c r="AA54" s="186">
        <f t="shared" si="118"/>
        <v>0.1405579466861536</v>
      </c>
      <c r="AB54" s="186">
        <f t="shared" si="118"/>
        <v>0.14638634000992462</v>
      </c>
      <c r="AC54" s="46">
        <f t="shared" ref="AC54" si="119">AC30*AC25*AC13</f>
        <v>0.33065437398079062</v>
      </c>
      <c r="AD54" s="46">
        <f t="shared" ref="AD54:AE56" si="120">AD30*AD25*AD13</f>
        <v>0.21647541775246984</v>
      </c>
      <c r="AE54" s="46">
        <f t="shared" si="120"/>
        <v>0.16798819358676101</v>
      </c>
      <c r="AF54" s="229"/>
      <c r="AG54" s="229"/>
      <c r="AH54" s="229"/>
      <c r="AI54" s="229"/>
      <c r="AJ54" s="229"/>
      <c r="AK54" s="229"/>
      <c r="AL54" s="229"/>
      <c r="AM54" s="229"/>
      <c r="AN54" s="229"/>
      <c r="AO54" s="229"/>
      <c r="AP54" s="229"/>
      <c r="AQ54" s="229"/>
      <c r="AR54" s="229"/>
      <c r="AS54" s="229"/>
      <c r="AT54" s="229"/>
      <c r="AU54" s="229"/>
    </row>
    <row r="55" spans="1:47">
      <c r="A55" s="185" t="s">
        <v>16</v>
      </c>
      <c r="C55" s="228" t="str">
        <f>C31</f>
        <v>Middle Income</v>
      </c>
      <c r="D55" s="185" t="s">
        <v>67</v>
      </c>
      <c r="E55" s="186">
        <f>E31*E26*E14</f>
        <v>2.605214709517647</v>
      </c>
      <c r="F55" s="61">
        <f t="shared" si="108"/>
        <v>2.7548189679355337</v>
      </c>
      <c r="G55" s="61">
        <f t="shared" si="109"/>
        <v>2.8707673067476867</v>
      </c>
      <c r="H55" s="61">
        <f t="shared" si="110"/>
        <v>3.0246992599559843</v>
      </c>
      <c r="I55" s="61">
        <f t="shared" si="111"/>
        <v>3.1864854986218929</v>
      </c>
      <c r="J55" s="61">
        <f t="shared" si="112"/>
        <v>3.0545728330280069</v>
      </c>
      <c r="K55" s="61">
        <f t="shared" si="113"/>
        <v>3.5542356645509767</v>
      </c>
      <c r="L55" s="61">
        <f t="shared" si="114"/>
        <v>4.0947143532828152</v>
      </c>
      <c r="M55" s="61">
        <f t="shared" si="115"/>
        <v>4.5342116234060548</v>
      </c>
      <c r="N55" s="42"/>
      <c r="O55" s="186">
        <f t="shared" si="116"/>
        <v>2.7548189679355337</v>
      </c>
      <c r="P55" s="186">
        <f t="shared" si="116"/>
        <v>2.8707673067476867</v>
      </c>
      <c r="Q55" s="186">
        <f t="shared" si="116"/>
        <v>3.0246992599559843</v>
      </c>
      <c r="R55" s="186">
        <f>R31*R26*R14</f>
        <v>3.1864854986218929</v>
      </c>
      <c r="S55" s="186">
        <f t="shared" ref="S55:V55" si="121">S31*S26*S14</f>
        <v>3.0545728330280069</v>
      </c>
      <c r="T55" s="46">
        <f t="shared" si="121"/>
        <v>3.5542356645509767</v>
      </c>
      <c r="U55" s="46">
        <f t="shared" si="121"/>
        <v>4.0947143532828152</v>
      </c>
      <c r="V55" s="46">
        <f t="shared" si="121"/>
        <v>4.5342116234060548</v>
      </c>
      <c r="W55" s="229"/>
      <c r="X55" s="186">
        <f t="shared" si="118"/>
        <v>2.7548189679355337</v>
      </c>
      <c r="Y55" s="186">
        <f t="shared" si="118"/>
        <v>2.8707673067476867</v>
      </c>
      <c r="Z55" s="186">
        <f t="shared" si="118"/>
        <v>3.0246992599559843</v>
      </c>
      <c r="AA55" s="186">
        <f t="shared" si="118"/>
        <v>3.1864854986218929</v>
      </c>
      <c r="AB55" s="186">
        <f t="shared" si="118"/>
        <v>3.0545728330280069</v>
      </c>
      <c r="AC55" s="46">
        <f t="shared" ref="AC55" si="122">AC31*AC26*AC14</f>
        <v>3.207697687257256</v>
      </c>
      <c r="AD55" s="46">
        <f t="shared" si="120"/>
        <v>3.5107057186458523</v>
      </c>
      <c r="AE55" s="46">
        <f t="shared" si="120"/>
        <v>3.5084865207825326</v>
      </c>
      <c r="AF55" s="229"/>
      <c r="AG55" s="229"/>
      <c r="AH55" s="229"/>
      <c r="AI55" s="229"/>
      <c r="AJ55" s="229"/>
      <c r="AK55" s="229"/>
      <c r="AL55" s="229"/>
      <c r="AM55" s="229"/>
      <c r="AN55" s="229"/>
      <c r="AO55" s="229"/>
      <c r="AP55" s="229"/>
      <c r="AQ55" s="229"/>
      <c r="AR55" s="229"/>
      <c r="AS55" s="229"/>
      <c r="AT55" s="229"/>
      <c r="AU55" s="229"/>
    </row>
    <row r="56" spans="1:47">
      <c r="A56" s="185" t="s">
        <v>16</v>
      </c>
      <c r="C56" s="228" t="str">
        <f>C32</f>
        <v>High Income</v>
      </c>
      <c r="D56" s="185" t="s">
        <v>67</v>
      </c>
      <c r="E56" s="186">
        <f>E32*E27*E15</f>
        <v>3.3176465460174991</v>
      </c>
      <c r="F56" s="61">
        <f t="shared" si="108"/>
        <v>3.7384287562127883</v>
      </c>
      <c r="G56" s="61">
        <f t="shared" si="109"/>
        <v>4.0095499278165798</v>
      </c>
      <c r="H56" s="61">
        <f t="shared" si="110"/>
        <v>4.194348400332407</v>
      </c>
      <c r="I56" s="61">
        <f t="shared" si="111"/>
        <v>3.7584536303869847</v>
      </c>
      <c r="J56" s="61">
        <f t="shared" si="112"/>
        <v>3.9068007168212775</v>
      </c>
      <c r="K56" s="61">
        <f t="shared" si="113"/>
        <v>5.3959374629299264</v>
      </c>
      <c r="L56" s="61">
        <f t="shared" si="114"/>
        <v>7.7742596626883973</v>
      </c>
      <c r="M56" s="61">
        <f t="shared" si="115"/>
        <v>10.451198908779302</v>
      </c>
      <c r="N56" s="42"/>
      <c r="O56" s="186">
        <f t="shared" si="116"/>
        <v>3.7384287562127883</v>
      </c>
      <c r="P56" s="186">
        <f t="shared" si="116"/>
        <v>4.0095499278165798</v>
      </c>
      <c r="Q56" s="186">
        <f t="shared" si="116"/>
        <v>4.194348400332407</v>
      </c>
      <c r="R56" s="186">
        <f t="shared" si="116"/>
        <v>3.7584536303869847</v>
      </c>
      <c r="S56" s="186">
        <f t="shared" ref="S56:V56" si="123">S32*S27*S15</f>
        <v>3.9068007168212775</v>
      </c>
      <c r="T56" s="46">
        <f t="shared" si="123"/>
        <v>5.3959374629299264</v>
      </c>
      <c r="U56" s="46">
        <f t="shared" si="123"/>
        <v>7.7742596626883973</v>
      </c>
      <c r="V56" s="46">
        <f t="shared" si="123"/>
        <v>10.451198908779302</v>
      </c>
      <c r="W56" s="229"/>
      <c r="X56" s="186">
        <f t="shared" si="118"/>
        <v>3.7384287562127883</v>
      </c>
      <c r="Y56" s="186">
        <f t="shared" si="118"/>
        <v>4.0095499278165798</v>
      </c>
      <c r="Z56" s="186">
        <f t="shared" si="118"/>
        <v>4.194348400332407</v>
      </c>
      <c r="AA56" s="186">
        <f t="shared" si="118"/>
        <v>3.7584536303869847</v>
      </c>
      <c r="AB56" s="186">
        <f t="shared" si="118"/>
        <v>3.9068007168212775</v>
      </c>
      <c r="AC56" s="46">
        <f t="shared" ref="AC56" si="124">AC32*AC27*AC15</f>
        <v>4.9722704697880955</v>
      </c>
      <c r="AD56" s="46">
        <f t="shared" si="120"/>
        <v>6.4314681354620031</v>
      </c>
      <c r="AE56" s="46">
        <f t="shared" si="120"/>
        <v>7.6984840447579925</v>
      </c>
      <c r="AF56" s="229"/>
      <c r="AG56" s="229"/>
      <c r="AH56" s="229"/>
      <c r="AI56" s="229"/>
      <c r="AJ56" s="229"/>
      <c r="AK56" s="229"/>
      <c r="AL56" s="229"/>
      <c r="AM56" s="229"/>
      <c r="AN56" s="229"/>
      <c r="AO56" s="229"/>
      <c r="AP56" s="229"/>
      <c r="AQ56" s="229"/>
      <c r="AR56" s="229"/>
      <c r="AS56" s="229"/>
      <c r="AT56" s="229"/>
      <c r="AU56" s="229"/>
    </row>
    <row r="57" spans="1:47">
      <c r="A57" s="185" t="s">
        <v>16</v>
      </c>
      <c r="C57" s="228" t="s">
        <v>165</v>
      </c>
      <c r="D57" s="185" t="s">
        <v>67</v>
      </c>
      <c r="E57" s="186">
        <f>E49</f>
        <v>0.44857633535499813</v>
      </c>
      <c r="F57" s="61">
        <f t="shared" si="108"/>
        <v>0.46210357112254363</v>
      </c>
      <c r="G57" s="61">
        <f t="shared" si="109"/>
        <v>0.46691180750353573</v>
      </c>
      <c r="H57" s="61">
        <f t="shared" si="110"/>
        <v>0.47010048898315682</v>
      </c>
      <c r="I57" s="61">
        <f t="shared" si="111"/>
        <v>0.45284634822306574</v>
      </c>
      <c r="J57" s="61">
        <f t="shared" si="112"/>
        <v>0.45758056160160959</v>
      </c>
      <c r="K57" s="61">
        <f t="shared" si="113"/>
        <v>0.50382178340331718</v>
      </c>
      <c r="L57" s="61">
        <f t="shared" si="114"/>
        <v>0.5850991700851057</v>
      </c>
      <c r="M57" s="61">
        <f t="shared" si="115"/>
        <v>0.69554198454893268</v>
      </c>
      <c r="N57" s="42"/>
      <c r="O57" s="186">
        <f>O49</f>
        <v>0.46210357112254363</v>
      </c>
      <c r="P57" s="186">
        <f t="shared" ref="P57:R57" si="125">P49</f>
        <v>0.46691180750353573</v>
      </c>
      <c r="Q57" s="186">
        <f t="shared" si="125"/>
        <v>0.47010048898315682</v>
      </c>
      <c r="R57" s="186">
        <f t="shared" si="125"/>
        <v>0.45284634822306574</v>
      </c>
      <c r="S57" s="186">
        <f>S49</f>
        <v>0.45758056160160959</v>
      </c>
      <c r="T57" s="46">
        <f t="shared" ref="T57:V57" si="126">T49</f>
        <v>0.50382178340331718</v>
      </c>
      <c r="U57" s="46">
        <f t="shared" si="126"/>
        <v>0.5850991700851057</v>
      </c>
      <c r="V57" s="46">
        <f t="shared" si="126"/>
        <v>0.69554198454893268</v>
      </c>
      <c r="W57" s="229"/>
      <c r="X57" s="186">
        <f>X49</f>
        <v>0.46210357112254363</v>
      </c>
      <c r="Y57" s="186">
        <f t="shared" ref="Y57:AB57" si="127">Y49</f>
        <v>0.46691180750353573</v>
      </c>
      <c r="Z57" s="186">
        <f t="shared" si="127"/>
        <v>0.47010048898315682</v>
      </c>
      <c r="AA57" s="186">
        <f t="shared" si="127"/>
        <v>0.45284634822306574</v>
      </c>
      <c r="AB57" s="186">
        <f t="shared" si="127"/>
        <v>0.45758056160160959</v>
      </c>
      <c r="AC57" s="46">
        <f t="shared" ref="AC57" si="128">AC49</f>
        <v>0.50430020366253359</v>
      </c>
      <c r="AD57" s="46">
        <f>AD49</f>
        <v>0.56938385666365487</v>
      </c>
      <c r="AE57" s="46">
        <f>AE49</f>
        <v>0.63386969994152731</v>
      </c>
      <c r="AF57" s="229"/>
      <c r="AG57" s="229"/>
      <c r="AH57" s="229"/>
      <c r="AI57" s="229"/>
      <c r="AJ57" s="229"/>
      <c r="AK57" s="229"/>
      <c r="AL57" s="229"/>
      <c r="AM57" s="229"/>
      <c r="AN57" s="229"/>
      <c r="AO57" s="229"/>
      <c r="AP57" s="229"/>
      <c r="AQ57" s="229"/>
      <c r="AR57" s="229"/>
      <c r="AS57" s="229"/>
      <c r="AT57" s="229"/>
      <c r="AU57" s="229"/>
    </row>
    <row r="58" spans="1:47">
      <c r="A58" s="185" t="s">
        <v>16</v>
      </c>
      <c r="C58" s="228" t="s">
        <v>64</v>
      </c>
      <c r="D58" s="185" t="s">
        <v>67</v>
      </c>
      <c r="E58" s="186">
        <f>SUM(E54:E57)</f>
        <v>6.5022595448073872</v>
      </c>
      <c r="F58" s="61">
        <f t="shared" si="108"/>
        <v>7.0871562613617858</v>
      </c>
      <c r="G58" s="61">
        <f t="shared" si="109"/>
        <v>7.4801228657068002</v>
      </c>
      <c r="H58" s="61">
        <f t="shared" si="110"/>
        <v>7.82370468440077</v>
      </c>
      <c r="I58" s="61">
        <f t="shared" si="111"/>
        <v>7.5383434239180964</v>
      </c>
      <c r="J58" s="61">
        <f t="shared" si="112"/>
        <v>7.5653404514608189</v>
      </c>
      <c r="K58" s="61">
        <f t="shared" si="113"/>
        <v>9.593217805191923</v>
      </c>
      <c r="L58" s="61">
        <f t="shared" si="114"/>
        <v>12.574004165420568</v>
      </c>
      <c r="M58" s="61">
        <f t="shared" si="115"/>
        <v>15.778919097044399</v>
      </c>
      <c r="N58" s="42"/>
      <c r="O58" s="186">
        <f>SUM(O54:O57)</f>
        <v>7.0871562613617858</v>
      </c>
      <c r="P58" s="186">
        <f t="shared" ref="P58:R58" si="129">SUM(P54:P57)</f>
        <v>7.4801228657068002</v>
      </c>
      <c r="Q58" s="186">
        <f t="shared" si="129"/>
        <v>7.82370468440077</v>
      </c>
      <c r="R58" s="186">
        <f t="shared" si="129"/>
        <v>7.5383434239180964</v>
      </c>
      <c r="S58" s="186">
        <f>SUM(S54:S57)</f>
        <v>7.5653404514608189</v>
      </c>
      <c r="T58" s="46">
        <f t="shared" ref="T58" si="130">SUM(T54:T57)</f>
        <v>9.593217805191923</v>
      </c>
      <c r="U58" s="46">
        <f t="shared" ref="U58" si="131">SUM(U54:U57)</f>
        <v>12.574004165420568</v>
      </c>
      <c r="V58" s="46">
        <f>SUM(V54:V57)</f>
        <v>15.778919097044399</v>
      </c>
      <c r="W58" s="229"/>
      <c r="X58" s="186">
        <f>SUM(X54:X57)</f>
        <v>7.0871562613617858</v>
      </c>
      <c r="Y58" s="186">
        <f t="shared" ref="Y58:AC58" si="132">SUM(Y54:Y57)</f>
        <v>7.4801228657068002</v>
      </c>
      <c r="Z58" s="186">
        <f t="shared" si="132"/>
        <v>7.82370468440077</v>
      </c>
      <c r="AA58" s="186">
        <f t="shared" si="132"/>
        <v>7.5383434239180964</v>
      </c>
      <c r="AB58" s="186">
        <f t="shared" si="132"/>
        <v>7.5653404514608189</v>
      </c>
      <c r="AC58" s="46">
        <f t="shared" si="132"/>
        <v>9.0149227346886747</v>
      </c>
      <c r="AD58" s="46">
        <f>SUM(AD54:AD57)</f>
        <v>10.728033128523979</v>
      </c>
      <c r="AE58" s="46">
        <f>SUM(AE54:AE57)</f>
        <v>12.008828459068814</v>
      </c>
      <c r="AF58" s="229"/>
      <c r="AG58" s="229"/>
      <c r="AH58" s="229"/>
      <c r="AI58" s="229"/>
      <c r="AJ58" s="229"/>
      <c r="AK58" s="229"/>
      <c r="AL58" s="229"/>
      <c r="AM58" s="229"/>
      <c r="AN58" s="229"/>
      <c r="AO58" s="229"/>
      <c r="AP58" s="229"/>
      <c r="AQ58" s="229"/>
      <c r="AR58" s="229"/>
      <c r="AS58" s="229"/>
      <c r="AT58" s="229"/>
      <c r="AU58" s="229"/>
    </row>
    <row r="59" spans="1:47">
      <c r="A59" s="185" t="s">
        <v>16</v>
      </c>
      <c r="C59" s="228" t="s">
        <v>65</v>
      </c>
      <c r="D59" s="185" t="s">
        <v>66</v>
      </c>
      <c r="E59" s="47">
        <f>E16/E58</f>
        <v>8.0472691871945408</v>
      </c>
      <c r="F59" s="61">
        <f t="shared" si="108"/>
        <v>7.7253117383362024</v>
      </c>
      <c r="G59" s="61">
        <f t="shared" si="109"/>
        <v>7.5562860472222084</v>
      </c>
      <c r="H59" s="61">
        <f t="shared" si="110"/>
        <v>7.4599997413232755</v>
      </c>
      <c r="I59" s="61">
        <f t="shared" si="111"/>
        <v>7.8676025573233943</v>
      </c>
      <c r="J59" s="61">
        <f t="shared" si="112"/>
        <v>7.929792563085547</v>
      </c>
      <c r="K59" s="61">
        <f t="shared" si="113"/>
        <v>6.8752832823522532</v>
      </c>
      <c r="L59" s="61">
        <f t="shared" si="114"/>
        <v>5.6764181927255368</v>
      </c>
      <c r="M59" s="61">
        <f>IF($D$4,AE59,V59)</f>
        <v>4.7860001395244804</v>
      </c>
      <c r="N59" s="42"/>
      <c r="O59" s="47">
        <f>F16/O58</f>
        <v>7.7253117383362024</v>
      </c>
      <c r="P59" s="47">
        <f t="shared" ref="P59:R59" si="133">G16/P58</f>
        <v>7.5562860472222084</v>
      </c>
      <c r="Q59" s="47">
        <f t="shared" si="133"/>
        <v>7.4599997413232755</v>
      </c>
      <c r="R59" s="186">
        <f t="shared" si="133"/>
        <v>7.8676025573233943</v>
      </c>
      <c r="S59" s="186">
        <f>J16/S58</f>
        <v>7.929792563085547</v>
      </c>
      <c r="T59" s="46">
        <f t="shared" ref="T59" si="134">K16/T58</f>
        <v>6.8752832823522532</v>
      </c>
      <c r="U59" s="46">
        <f t="shared" ref="U59" si="135">L16/U58</f>
        <v>5.6764181927255368</v>
      </c>
      <c r="V59" s="46">
        <f t="shared" ref="V59" si="136">M16/V58</f>
        <v>4.7860001395244804</v>
      </c>
      <c r="W59" s="229"/>
      <c r="X59" s="47">
        <f>X16/X58</f>
        <v>7.7253117383362024</v>
      </c>
      <c r="Y59" s="47">
        <f t="shared" ref="Y59:AC59" si="137">Y16/Y58</f>
        <v>7.5562860472222084</v>
      </c>
      <c r="Z59" s="47">
        <f t="shared" si="137"/>
        <v>7.4599997413232755</v>
      </c>
      <c r="AA59" s="47">
        <f t="shared" si="137"/>
        <v>7.8676025573233943</v>
      </c>
      <c r="AB59" s="47">
        <f t="shared" si="137"/>
        <v>7.929792563085547</v>
      </c>
      <c r="AC59" s="46">
        <f t="shared" si="137"/>
        <v>7.316323383028724</v>
      </c>
      <c r="AD59" s="46">
        <f>AD16/AD58</f>
        <v>6.6531586121062061</v>
      </c>
      <c r="AE59" s="46">
        <f>AE16/AE58</f>
        <v>6.2885325789603108</v>
      </c>
      <c r="AF59" s="229"/>
      <c r="AG59" s="229"/>
      <c r="AH59" s="229"/>
      <c r="AI59" s="229"/>
      <c r="AJ59" s="229"/>
      <c r="AK59" s="229"/>
      <c r="AL59" s="229"/>
      <c r="AM59" s="229"/>
      <c r="AN59" s="229"/>
      <c r="AO59" s="229"/>
      <c r="AP59" s="229"/>
      <c r="AQ59" s="229"/>
      <c r="AR59" s="229"/>
      <c r="AS59" s="229"/>
      <c r="AT59" s="229"/>
      <c r="AU59" s="229"/>
    </row>
    <row r="60" spans="1:47">
      <c r="A60" s="185" t="s">
        <v>16</v>
      </c>
      <c r="C60" s="228" t="s">
        <v>166</v>
      </c>
      <c r="D60" s="185" t="s">
        <v>144</v>
      </c>
      <c r="E60" s="186">
        <f>1000/E59</f>
        <v>124.26575733185116</v>
      </c>
      <c r="F60" s="186">
        <f t="shared" ref="F60:M60" si="138">1000/F59</f>
        <v>129.44461451795985</v>
      </c>
      <c r="G60" s="186">
        <f t="shared" si="138"/>
        <v>132.34014617109597</v>
      </c>
      <c r="H60" s="186">
        <f t="shared" si="138"/>
        <v>134.04826202079965</v>
      </c>
      <c r="I60" s="186">
        <f t="shared" si="138"/>
        <v>127.10352266958004</v>
      </c>
      <c r="J60" s="186">
        <f t="shared" si="138"/>
        <v>126.10670355428464</v>
      </c>
      <c r="K60" s="186">
        <f t="shared" si="138"/>
        <v>145.44855228974188</v>
      </c>
      <c r="L60" s="186">
        <f t="shared" si="138"/>
        <v>176.16742918651121</v>
      </c>
      <c r="M60" s="186">
        <f t="shared" si="138"/>
        <v>208.94274359535567</v>
      </c>
      <c r="N60" s="40"/>
      <c r="O60" s="186">
        <f>1000/O59</f>
        <v>129.44461451795985</v>
      </c>
      <c r="P60" s="186">
        <f t="shared" ref="P60:R60" si="139">1000/P59</f>
        <v>132.34014617109597</v>
      </c>
      <c r="Q60" s="186">
        <f t="shared" si="139"/>
        <v>134.04826202079965</v>
      </c>
      <c r="R60" s="186">
        <f t="shared" si="139"/>
        <v>127.10352266958004</v>
      </c>
      <c r="S60" s="186">
        <f>1000/S59</f>
        <v>126.10670355428464</v>
      </c>
      <c r="T60" s="186">
        <f t="shared" ref="T60" si="140">1000/T59</f>
        <v>145.44855228974188</v>
      </c>
      <c r="U60" s="186">
        <f t="shared" ref="U60" si="141">1000/U59</f>
        <v>176.16742918651121</v>
      </c>
      <c r="V60" s="186">
        <f t="shared" ref="V60" si="142">1000/V59</f>
        <v>208.94274359535567</v>
      </c>
      <c r="X60" s="186">
        <f>1000/X59</f>
        <v>129.44461451795985</v>
      </c>
      <c r="Y60" s="186">
        <f t="shared" ref="Y60:AC60" si="143">1000/Y59</f>
        <v>132.34014617109597</v>
      </c>
      <c r="Z60" s="186">
        <f t="shared" si="143"/>
        <v>134.04826202079965</v>
      </c>
      <c r="AA60" s="186">
        <f t="shared" si="143"/>
        <v>127.10352266958004</v>
      </c>
      <c r="AB60" s="186">
        <f t="shared" si="143"/>
        <v>126.10670355428464</v>
      </c>
      <c r="AC60" s="186">
        <f t="shared" si="143"/>
        <v>136.68067246995199</v>
      </c>
      <c r="AD60" s="186">
        <f>1000/AD59</f>
        <v>150.30454830588019</v>
      </c>
      <c r="AE60" s="186">
        <f>1000/AE59</f>
        <v>159.01961028964422</v>
      </c>
    </row>
    <row r="61" spans="1:47">
      <c r="A61" s="185" t="s">
        <v>16</v>
      </c>
      <c r="C61" s="228" t="s">
        <v>167</v>
      </c>
      <c r="E61" s="232">
        <f>E57/E58</f>
        <v>6.8987762217708595E-2</v>
      </c>
      <c r="F61" s="232">
        <f t="shared" si="108"/>
        <v>6.5202960691281717E-2</v>
      </c>
      <c r="G61" s="232">
        <f t="shared" ref="G61" si="144">IF($D$4,AA61,R61)</f>
        <v>6.007239558577928E-2</v>
      </c>
      <c r="H61" s="232">
        <f t="shared" ref="H61:J61" si="145">IF($D$4,AC61,T61)</f>
        <v>5.2518538996440274E-2</v>
      </c>
      <c r="I61" s="232">
        <f t="shared" si="145"/>
        <v>4.6532446020192297E-2</v>
      </c>
      <c r="J61" s="232">
        <f t="shared" si="145"/>
        <v>4.4080458253900098E-2</v>
      </c>
      <c r="K61" s="232">
        <f t="shared" ref="K61:M61" si="146">IF($D$4,AC61,T61)</f>
        <v>5.2518538996440274E-2</v>
      </c>
      <c r="L61" s="232">
        <f t="shared" si="146"/>
        <v>4.6532446020192297E-2</v>
      </c>
      <c r="M61" s="232">
        <f t="shared" si="146"/>
        <v>4.4080458253900098E-2</v>
      </c>
      <c r="N61" s="40"/>
      <c r="O61" s="232">
        <f>O57/O58</f>
        <v>6.5202960691281717E-2</v>
      </c>
      <c r="P61" s="232">
        <f t="shared" ref="P61:R61" si="147">P57/P58</f>
        <v>6.2420339329468624E-2</v>
      </c>
      <c r="Q61" s="232">
        <f>Q57/Q58</f>
        <v>6.0086686288206001E-2</v>
      </c>
      <c r="R61" s="232">
        <f t="shared" si="147"/>
        <v>6.007239558577928E-2</v>
      </c>
      <c r="S61" s="232">
        <f>S57/S58</f>
        <v>6.0483803014212495E-2</v>
      </c>
      <c r="T61" s="232">
        <f t="shared" ref="T61:V61" si="148">T57/T58</f>
        <v>5.2518538996440274E-2</v>
      </c>
      <c r="U61" s="232">
        <f t="shared" si="148"/>
        <v>4.6532446020192297E-2</v>
      </c>
      <c r="V61" s="232">
        <f t="shared" si="148"/>
        <v>4.4080458253900098E-2</v>
      </c>
      <c r="W61" s="283"/>
      <c r="X61" s="232">
        <f>X57/X58</f>
        <v>6.5202960691281717E-2</v>
      </c>
      <c r="Y61" s="232">
        <f t="shared" ref="Y61:AB61" si="149">Y57/Y58</f>
        <v>6.2420339329468624E-2</v>
      </c>
      <c r="Z61" s="232">
        <f t="shared" si="149"/>
        <v>6.0086686288206001E-2</v>
      </c>
      <c r="AA61" s="232">
        <f t="shared" si="149"/>
        <v>6.007239558577928E-2</v>
      </c>
      <c r="AB61" s="232">
        <f t="shared" si="149"/>
        <v>6.0483803014212495E-2</v>
      </c>
      <c r="AC61" s="232">
        <f t="shared" ref="AC61" si="150">AC57/AC58</f>
        <v>5.5940601878042534E-2</v>
      </c>
      <c r="AD61" s="232">
        <f>AD57/AD58</f>
        <v>5.3074393958549772E-2</v>
      </c>
      <c r="AE61" s="232">
        <f>AE57/AE58</f>
        <v>5.2783641810025379E-2</v>
      </c>
    </row>
    <row r="62" spans="1:47">
      <c r="A62" s="185" t="s">
        <v>16</v>
      </c>
      <c r="C62" s="228"/>
      <c r="E62" s="232"/>
      <c r="F62" s="232"/>
      <c r="G62" s="232"/>
      <c r="I62" s="232"/>
      <c r="K62" s="232"/>
      <c r="L62" s="232"/>
      <c r="M62" s="232"/>
      <c r="N62" s="40"/>
      <c r="W62" s="283"/>
    </row>
    <row r="63" spans="1:47" ht="15.75" thickBot="1">
      <c r="A63" s="185" t="s">
        <v>16</v>
      </c>
      <c r="C63" s="227" t="s">
        <v>80</v>
      </c>
      <c r="E63" s="7">
        <f t="shared" ref="E63:M63" si="151">E53</f>
        <v>2012</v>
      </c>
      <c r="F63" s="7">
        <f t="shared" si="151"/>
        <v>2015</v>
      </c>
      <c r="G63" s="7">
        <f t="shared" si="151"/>
        <v>2017</v>
      </c>
      <c r="H63" s="7">
        <f t="shared" si="151"/>
        <v>2019</v>
      </c>
      <c r="I63" s="7">
        <f t="shared" si="151"/>
        <v>2020</v>
      </c>
      <c r="J63" s="7">
        <f t="shared" si="151"/>
        <v>2021</v>
      </c>
      <c r="K63" s="7">
        <f t="shared" si="151"/>
        <v>2030</v>
      </c>
      <c r="L63" s="7">
        <f t="shared" si="151"/>
        <v>2040</v>
      </c>
      <c r="M63" s="7">
        <f t="shared" si="151"/>
        <v>2050</v>
      </c>
      <c r="N63" s="40"/>
      <c r="O63" s="290">
        <f>O53</f>
        <v>2015</v>
      </c>
      <c r="P63" s="290">
        <f t="shared" ref="P63:V63" si="152">P53</f>
        <v>2017</v>
      </c>
      <c r="Q63" s="290">
        <f t="shared" si="152"/>
        <v>2019</v>
      </c>
      <c r="R63" s="290">
        <f t="shared" si="152"/>
        <v>2020</v>
      </c>
      <c r="S63" s="290">
        <f t="shared" si="152"/>
        <v>2021</v>
      </c>
      <c r="T63" s="290">
        <f t="shared" si="152"/>
        <v>2030</v>
      </c>
      <c r="U63" s="290">
        <f t="shared" si="152"/>
        <v>2040</v>
      </c>
      <c r="V63" s="290">
        <f t="shared" si="152"/>
        <v>2050</v>
      </c>
      <c r="W63" s="283"/>
      <c r="X63" s="304">
        <f>X$12</f>
        <v>2015</v>
      </c>
      <c r="Y63" s="304">
        <f t="shared" ref="Y63:AE63" si="153">Y$12</f>
        <v>2017</v>
      </c>
      <c r="Z63" s="304">
        <f t="shared" si="153"/>
        <v>2019</v>
      </c>
      <c r="AA63" s="304">
        <f t="shared" si="153"/>
        <v>2020</v>
      </c>
      <c r="AB63" s="304">
        <f t="shared" si="153"/>
        <v>2021</v>
      </c>
      <c r="AC63" s="304">
        <f t="shared" si="153"/>
        <v>2030</v>
      </c>
      <c r="AD63" s="304">
        <f t="shared" si="153"/>
        <v>2040</v>
      </c>
      <c r="AE63" s="304">
        <f t="shared" si="153"/>
        <v>2050</v>
      </c>
    </row>
    <row r="64" spans="1:47">
      <c r="A64" s="185" t="s">
        <v>16</v>
      </c>
      <c r="C64" s="228" t="s">
        <v>168</v>
      </c>
      <c r="D64" s="185" t="s">
        <v>169</v>
      </c>
      <c r="E64" s="66">
        <f>[2]Calib_1011!$H$96*[2]Calib_1011!$H$97</f>
        <v>330</v>
      </c>
      <c r="F64" s="61">
        <f>IF($D$4,X64,O64)</f>
        <v>330</v>
      </c>
      <c r="G64" s="61">
        <f t="shared" ref="G64:M64" si="154">IF($D$4,Y64,P64)</f>
        <v>330</v>
      </c>
      <c r="H64" s="61">
        <f t="shared" si="154"/>
        <v>330</v>
      </c>
      <c r="I64" s="61">
        <f t="shared" si="154"/>
        <v>330</v>
      </c>
      <c r="J64" s="61">
        <f t="shared" si="154"/>
        <v>330</v>
      </c>
      <c r="K64" s="61">
        <f t="shared" si="154"/>
        <v>330</v>
      </c>
      <c r="L64" s="61">
        <f t="shared" si="154"/>
        <v>330</v>
      </c>
      <c r="M64" s="61">
        <f t="shared" si="154"/>
        <v>330</v>
      </c>
      <c r="N64" s="40"/>
      <c r="O64" s="74">
        <f>E64</f>
        <v>330</v>
      </c>
      <c r="P64" s="74">
        <f>O64</f>
        <v>330</v>
      </c>
      <c r="Q64" s="74">
        <f>P64</f>
        <v>330</v>
      </c>
      <c r="R64" s="186">
        <f t="shared" ref="R64:V64" si="155">Q64</f>
        <v>330</v>
      </c>
      <c r="S64" s="186">
        <f t="shared" si="155"/>
        <v>330</v>
      </c>
      <c r="T64" s="60">
        <f t="shared" si="155"/>
        <v>330</v>
      </c>
      <c r="U64" s="60">
        <f t="shared" si="155"/>
        <v>330</v>
      </c>
      <c r="V64" s="60">
        <f t="shared" si="155"/>
        <v>330</v>
      </c>
      <c r="W64" s="283"/>
      <c r="X64" s="74">
        <f>O64</f>
        <v>330</v>
      </c>
      <c r="Y64" s="74">
        <f t="shared" ref="Y64:AB64" si="156">P64</f>
        <v>330</v>
      </c>
      <c r="Z64" s="74">
        <f t="shared" si="156"/>
        <v>330</v>
      </c>
      <c r="AA64" s="74">
        <f t="shared" si="156"/>
        <v>330</v>
      </c>
      <c r="AB64" s="74">
        <f t="shared" si="156"/>
        <v>330</v>
      </c>
      <c r="AC64" s="60">
        <f>AA64</f>
        <v>330</v>
      </c>
      <c r="AD64" s="60">
        <f>AC64</f>
        <v>330</v>
      </c>
      <c r="AE64" s="60">
        <f>AD64</f>
        <v>330</v>
      </c>
    </row>
    <row r="65" spans="1:47">
      <c r="A65" s="185" t="s">
        <v>16</v>
      </c>
      <c r="C65" s="228"/>
      <c r="L65" s="185"/>
      <c r="N65" s="40"/>
      <c r="O65" s="8"/>
      <c r="P65" s="8"/>
      <c r="Q65" s="8"/>
      <c r="S65" s="283"/>
    </row>
    <row r="66" spans="1:47" ht="15.75" thickBot="1">
      <c r="A66" s="185" t="s">
        <v>16</v>
      </c>
      <c r="C66" s="227" t="s">
        <v>178</v>
      </c>
      <c r="L66" s="185"/>
      <c r="N66" s="40"/>
      <c r="O66" s="185">
        <f t="shared" ref="O66:V66" si="157">O53</f>
        <v>2015</v>
      </c>
      <c r="P66" s="283">
        <f t="shared" si="157"/>
        <v>2017</v>
      </c>
      <c r="Q66" s="283">
        <f t="shared" si="157"/>
        <v>2019</v>
      </c>
      <c r="R66" s="283">
        <f t="shared" si="157"/>
        <v>2020</v>
      </c>
      <c r="S66" s="283">
        <f t="shared" si="157"/>
        <v>2021</v>
      </c>
      <c r="T66" s="283">
        <f t="shared" si="157"/>
        <v>2030</v>
      </c>
      <c r="U66" s="283">
        <f t="shared" si="157"/>
        <v>2040</v>
      </c>
      <c r="V66" s="283">
        <f t="shared" si="157"/>
        <v>2050</v>
      </c>
    </row>
    <row r="67" spans="1:47">
      <c r="A67" s="185" t="s">
        <v>16</v>
      </c>
      <c r="C67" s="228" t="s">
        <v>179</v>
      </c>
      <c r="D67" s="185" t="s">
        <v>170</v>
      </c>
      <c r="E67" s="200">
        <f>[2]Calib_1011!$H$102</f>
        <v>33.5</v>
      </c>
      <c r="F67" s="74">
        <f t="shared" ref="F67:F70" si="158">IF($D$4,X67,O67)</f>
        <v>33.5</v>
      </c>
      <c r="G67" s="74">
        <f t="shared" ref="G67:G70" si="159">IF($D$4,Y67,P67)</f>
        <v>33.5</v>
      </c>
      <c r="H67" s="74">
        <f t="shared" ref="H67:H70" si="160">IF($D$4,Z67,Q67)</f>
        <v>33.5</v>
      </c>
      <c r="I67" s="74">
        <f t="shared" ref="I67:I70" si="161">IF($D$4,AA67,R67)</f>
        <v>33.5</v>
      </c>
      <c r="J67" s="74">
        <f t="shared" ref="J67:J70" si="162">IF($D$4,AB67,S67)</f>
        <v>33.5</v>
      </c>
      <c r="K67" s="74">
        <f t="shared" ref="K67:K70" si="163">IF($D$4,AC67,T67)</f>
        <v>33.5</v>
      </c>
      <c r="L67" s="74">
        <f t="shared" ref="L67:L70" si="164">IF($D$4,AD67,U67)</f>
        <v>33.5</v>
      </c>
      <c r="M67" s="74">
        <f t="shared" ref="M67:M70" si="165">IF($D$4,AE67,V67)</f>
        <v>33.5</v>
      </c>
      <c r="N67" s="40"/>
      <c r="O67" s="74">
        <f>E67</f>
        <v>33.5</v>
      </c>
      <c r="P67" s="73">
        <f>O67</f>
        <v>33.5</v>
      </c>
      <c r="Q67" s="74">
        <f t="shared" ref="Q67:V67" si="166">P67</f>
        <v>33.5</v>
      </c>
      <c r="R67" s="186">
        <f t="shared" si="166"/>
        <v>33.5</v>
      </c>
      <c r="S67" s="186">
        <f t="shared" si="166"/>
        <v>33.5</v>
      </c>
      <c r="T67" s="60">
        <f t="shared" si="166"/>
        <v>33.5</v>
      </c>
      <c r="U67" s="60">
        <f t="shared" si="166"/>
        <v>33.5</v>
      </c>
      <c r="V67" s="60">
        <f t="shared" si="166"/>
        <v>33.5</v>
      </c>
      <c r="X67" s="74">
        <f>O67</f>
        <v>33.5</v>
      </c>
      <c r="Y67" s="74">
        <f t="shared" ref="Y67:AB67" si="167">P67</f>
        <v>33.5</v>
      </c>
      <c r="Z67" s="74">
        <f t="shared" si="167"/>
        <v>33.5</v>
      </c>
      <c r="AA67" s="74">
        <f t="shared" si="167"/>
        <v>33.5</v>
      </c>
      <c r="AB67" s="74">
        <f t="shared" si="167"/>
        <v>33.5</v>
      </c>
      <c r="AC67" s="60">
        <f>AA67</f>
        <v>33.5</v>
      </c>
      <c r="AD67" s="60">
        <f>AC67</f>
        <v>33.5</v>
      </c>
      <c r="AE67" s="60">
        <f>AD67</f>
        <v>33.5</v>
      </c>
    </row>
    <row r="68" spans="1:47">
      <c r="A68" s="185" t="s">
        <v>16</v>
      </c>
      <c r="C68" s="228" t="s">
        <v>63</v>
      </c>
      <c r="D68" s="185" t="s">
        <v>170</v>
      </c>
      <c r="E68" s="60">
        <f>E70*1.5</f>
        <v>32.25</v>
      </c>
      <c r="F68" s="74">
        <f t="shared" si="158"/>
        <v>32.25</v>
      </c>
      <c r="G68" s="74">
        <f t="shared" si="159"/>
        <v>32.25</v>
      </c>
      <c r="H68" s="74">
        <f t="shared" si="160"/>
        <v>32.25</v>
      </c>
      <c r="I68" s="74">
        <f t="shared" si="161"/>
        <v>32.25</v>
      </c>
      <c r="J68" s="74">
        <f t="shared" si="162"/>
        <v>32.25</v>
      </c>
      <c r="K68" s="74">
        <f t="shared" si="163"/>
        <v>32.25</v>
      </c>
      <c r="L68" s="74">
        <f t="shared" si="164"/>
        <v>32.25</v>
      </c>
      <c r="M68" s="74">
        <f t="shared" si="165"/>
        <v>32.25</v>
      </c>
      <c r="N68" s="40"/>
      <c r="O68" s="74">
        <f t="shared" ref="O68:O70" si="168">E68</f>
        <v>32.25</v>
      </c>
      <c r="P68" s="74">
        <f t="shared" ref="P68:V68" si="169">O68</f>
        <v>32.25</v>
      </c>
      <c r="Q68" s="74">
        <f t="shared" si="169"/>
        <v>32.25</v>
      </c>
      <c r="R68" s="186">
        <f t="shared" si="169"/>
        <v>32.25</v>
      </c>
      <c r="S68" s="186">
        <f t="shared" si="169"/>
        <v>32.25</v>
      </c>
      <c r="T68" s="60">
        <f t="shared" si="169"/>
        <v>32.25</v>
      </c>
      <c r="U68" s="60">
        <f t="shared" si="169"/>
        <v>32.25</v>
      </c>
      <c r="V68" s="60">
        <f t="shared" si="169"/>
        <v>32.25</v>
      </c>
      <c r="X68" s="74">
        <f t="shared" ref="X68:X70" si="170">O68</f>
        <v>32.25</v>
      </c>
      <c r="Y68" s="74">
        <f t="shared" ref="Y68:Y70" si="171">P68</f>
        <v>32.25</v>
      </c>
      <c r="Z68" s="74">
        <f t="shared" ref="Z68:Z70" si="172">Q68</f>
        <v>32.25</v>
      </c>
      <c r="AA68" s="74">
        <f t="shared" ref="AA68:AA70" si="173">R68</f>
        <v>32.25</v>
      </c>
      <c r="AB68" s="74">
        <f t="shared" ref="AB68:AB70" si="174">S68</f>
        <v>32.25</v>
      </c>
      <c r="AC68" s="60">
        <f>AC70*1.5</f>
        <v>30</v>
      </c>
      <c r="AD68" s="60">
        <f>AD70*1.5</f>
        <v>30</v>
      </c>
      <c r="AE68" s="60">
        <f>AE70*1.5</f>
        <v>30</v>
      </c>
    </row>
    <row r="69" spans="1:47">
      <c r="A69" s="185" t="s">
        <v>16</v>
      </c>
      <c r="C69" s="228" t="s">
        <v>82</v>
      </c>
      <c r="D69" s="185" t="s">
        <v>170</v>
      </c>
      <c r="E69" s="60">
        <f>E70*2</f>
        <v>43</v>
      </c>
      <c r="F69" s="74">
        <f t="shared" si="158"/>
        <v>43</v>
      </c>
      <c r="G69" s="74">
        <f t="shared" si="159"/>
        <v>43</v>
      </c>
      <c r="H69" s="74">
        <f t="shared" si="160"/>
        <v>43</v>
      </c>
      <c r="I69" s="74">
        <f t="shared" si="161"/>
        <v>43</v>
      </c>
      <c r="J69" s="74">
        <f t="shared" si="162"/>
        <v>43</v>
      </c>
      <c r="K69" s="74">
        <f t="shared" si="163"/>
        <v>43</v>
      </c>
      <c r="L69" s="74">
        <f t="shared" si="164"/>
        <v>43</v>
      </c>
      <c r="M69" s="74">
        <f t="shared" si="165"/>
        <v>43</v>
      </c>
      <c r="N69" s="40"/>
      <c r="O69" s="74">
        <f t="shared" si="168"/>
        <v>43</v>
      </c>
      <c r="P69" s="74">
        <f t="shared" ref="P69:V69" si="175">O69</f>
        <v>43</v>
      </c>
      <c r="Q69" s="74">
        <f t="shared" si="175"/>
        <v>43</v>
      </c>
      <c r="R69" s="186">
        <f t="shared" si="175"/>
        <v>43</v>
      </c>
      <c r="S69" s="186">
        <f t="shared" si="175"/>
        <v>43</v>
      </c>
      <c r="T69" s="60">
        <f t="shared" si="175"/>
        <v>43</v>
      </c>
      <c r="U69" s="60">
        <f t="shared" si="175"/>
        <v>43</v>
      </c>
      <c r="V69" s="60">
        <f t="shared" si="175"/>
        <v>43</v>
      </c>
      <c r="X69" s="74">
        <f t="shared" si="170"/>
        <v>43</v>
      </c>
      <c r="Y69" s="74">
        <f t="shared" si="171"/>
        <v>43</v>
      </c>
      <c r="Z69" s="74">
        <f t="shared" si="172"/>
        <v>43</v>
      </c>
      <c r="AA69" s="74">
        <f t="shared" si="173"/>
        <v>43</v>
      </c>
      <c r="AB69" s="74">
        <f t="shared" si="174"/>
        <v>43</v>
      </c>
      <c r="AC69" s="60">
        <f>AC70*2</f>
        <v>40</v>
      </c>
      <c r="AD69" s="60">
        <f>AD70*2</f>
        <v>40</v>
      </c>
      <c r="AE69" s="60">
        <f>AE70*2</f>
        <v>40</v>
      </c>
    </row>
    <row r="70" spans="1:47">
      <c r="A70" s="185" t="s">
        <v>16</v>
      </c>
      <c r="C70" s="228" t="s">
        <v>180</v>
      </c>
      <c r="D70" s="185" t="s">
        <v>170</v>
      </c>
      <c r="E70" s="200">
        <f>[2]Calib_1011!$H$101</f>
        <v>21.5</v>
      </c>
      <c r="F70" s="74">
        <f t="shared" si="158"/>
        <v>21.5</v>
      </c>
      <c r="G70" s="74">
        <f t="shared" si="159"/>
        <v>20</v>
      </c>
      <c r="H70" s="74">
        <f t="shared" si="160"/>
        <v>20</v>
      </c>
      <c r="I70" s="74">
        <f t="shared" si="161"/>
        <v>20</v>
      </c>
      <c r="J70" s="74">
        <f t="shared" si="162"/>
        <v>20</v>
      </c>
      <c r="K70" s="74">
        <f t="shared" si="163"/>
        <v>20</v>
      </c>
      <c r="L70" s="74">
        <f t="shared" si="164"/>
        <v>20</v>
      </c>
      <c r="M70" s="74">
        <f t="shared" si="165"/>
        <v>20</v>
      </c>
      <c r="N70" s="40"/>
      <c r="O70" s="73">
        <f t="shared" si="168"/>
        <v>21.5</v>
      </c>
      <c r="P70" s="332">
        <v>20</v>
      </c>
      <c r="Q70" s="73">
        <f t="shared" ref="P70:V70" si="176">P70</f>
        <v>20</v>
      </c>
      <c r="R70" s="186">
        <f t="shared" si="176"/>
        <v>20</v>
      </c>
      <c r="S70" s="186">
        <f t="shared" si="176"/>
        <v>20</v>
      </c>
      <c r="T70" s="331">
        <f t="shared" si="176"/>
        <v>20</v>
      </c>
      <c r="U70" s="331">
        <f t="shared" si="176"/>
        <v>20</v>
      </c>
      <c r="V70" s="331">
        <f t="shared" si="176"/>
        <v>20</v>
      </c>
      <c r="X70" s="74">
        <f t="shared" si="170"/>
        <v>21.5</v>
      </c>
      <c r="Y70" s="73">
        <f t="shared" si="171"/>
        <v>20</v>
      </c>
      <c r="Z70" s="74">
        <f t="shared" si="172"/>
        <v>20</v>
      </c>
      <c r="AA70" s="74">
        <f t="shared" si="173"/>
        <v>20</v>
      </c>
      <c r="AB70" s="74">
        <f t="shared" si="174"/>
        <v>20</v>
      </c>
      <c r="AC70" s="60">
        <f>AA70</f>
        <v>20</v>
      </c>
      <c r="AD70" s="60">
        <f>AC70</f>
        <v>20</v>
      </c>
      <c r="AE70" s="60">
        <f>AD70</f>
        <v>20</v>
      </c>
    </row>
    <row r="71" spans="1:47">
      <c r="A71" s="185" t="s">
        <v>16</v>
      </c>
      <c r="C71" s="263" t="s">
        <v>633</v>
      </c>
      <c r="L71" s="185"/>
      <c r="N71" s="40"/>
    </row>
    <row r="72" spans="1:47" ht="15.75" thickBot="1">
      <c r="A72" s="185" t="s">
        <v>16</v>
      </c>
      <c r="C72" s="227" t="s">
        <v>177</v>
      </c>
      <c r="K72" s="287"/>
      <c r="L72" s="287"/>
      <c r="N72" s="40"/>
      <c r="O72" s="298">
        <f>O$12</f>
        <v>2015</v>
      </c>
      <c r="P72" s="298">
        <f t="shared" ref="P72:V113" si="177">P$12</f>
        <v>2017</v>
      </c>
      <c r="Q72" s="298">
        <f t="shared" si="177"/>
        <v>2019</v>
      </c>
      <c r="R72" s="298">
        <f t="shared" si="177"/>
        <v>2020</v>
      </c>
      <c r="S72" s="298">
        <f t="shared" si="177"/>
        <v>2021</v>
      </c>
      <c r="T72" s="298">
        <f t="shared" si="177"/>
        <v>2030</v>
      </c>
      <c r="U72" s="298">
        <f t="shared" si="177"/>
        <v>2040</v>
      </c>
      <c r="V72" s="298">
        <f t="shared" si="177"/>
        <v>2050</v>
      </c>
    </row>
    <row r="73" spans="1:47">
      <c r="A73" s="185" t="s">
        <v>16</v>
      </c>
      <c r="C73" s="228" t="s">
        <v>181</v>
      </c>
      <c r="E73" s="230">
        <f>[2]Calib_1011!$H$100</f>
        <v>0.55000000000000004</v>
      </c>
      <c r="F73" s="61">
        <f>IF($D$4,X73,O73)</f>
        <v>0.55000000000000004</v>
      </c>
      <c r="G73" s="61">
        <f t="shared" ref="G73:M73" si="178">IF($D$4,Y73,P73)</f>
        <v>0.55000000000000004</v>
      </c>
      <c r="H73" s="61">
        <f t="shared" si="178"/>
        <v>0.55000000000000004</v>
      </c>
      <c r="I73" s="61">
        <f t="shared" si="178"/>
        <v>0.55000000000000004</v>
      </c>
      <c r="J73" s="61">
        <f t="shared" si="178"/>
        <v>0.55000000000000004</v>
      </c>
      <c r="K73" s="61">
        <f t="shared" si="178"/>
        <v>0.55000000000000004</v>
      </c>
      <c r="L73" s="61">
        <f t="shared" si="178"/>
        <v>0.55000000000000004</v>
      </c>
      <c r="M73" s="61">
        <f t="shared" si="178"/>
        <v>0.55000000000000004</v>
      </c>
      <c r="N73" s="40"/>
      <c r="O73" s="231">
        <f>E73</f>
        <v>0.55000000000000004</v>
      </c>
      <c r="P73" s="231">
        <f t="shared" ref="P73:R73" si="179">F73</f>
        <v>0.55000000000000004</v>
      </c>
      <c r="Q73" s="231">
        <f t="shared" si="179"/>
        <v>0.55000000000000004</v>
      </c>
      <c r="R73" s="186">
        <f t="shared" si="179"/>
        <v>0.55000000000000004</v>
      </c>
      <c r="S73" s="186">
        <f t="shared" ref="S73" si="180">I73</f>
        <v>0.55000000000000004</v>
      </c>
      <c r="T73" s="34">
        <f t="shared" ref="T73:U73" si="181">J73</f>
        <v>0.55000000000000004</v>
      </c>
      <c r="U73" s="34">
        <f t="shared" si="181"/>
        <v>0.55000000000000004</v>
      </c>
      <c r="V73" s="34">
        <f t="shared" ref="V73" si="182">L73</f>
        <v>0.55000000000000004</v>
      </c>
      <c r="X73" s="231">
        <f>O73</f>
        <v>0.55000000000000004</v>
      </c>
      <c r="Y73" s="231">
        <f t="shared" ref="Y73:AB73" si="183">P73</f>
        <v>0.55000000000000004</v>
      </c>
      <c r="Z73" s="231">
        <f t="shared" si="183"/>
        <v>0.55000000000000004</v>
      </c>
      <c r="AA73" s="231">
        <f t="shared" si="183"/>
        <v>0.55000000000000004</v>
      </c>
      <c r="AB73" s="231">
        <f t="shared" si="183"/>
        <v>0.55000000000000004</v>
      </c>
      <c r="AC73" s="34">
        <f>AA73</f>
        <v>0.55000000000000004</v>
      </c>
      <c r="AD73" s="34">
        <f>AC73</f>
        <v>0.55000000000000004</v>
      </c>
      <c r="AE73" s="34">
        <f>AD73</f>
        <v>0.55000000000000004</v>
      </c>
    </row>
    <row r="74" spans="1:47">
      <c r="A74" s="185" t="s">
        <v>16</v>
      </c>
      <c r="C74" s="69" t="s">
        <v>192</v>
      </c>
      <c r="E74" s="7"/>
      <c r="F74" s="7"/>
      <c r="G74" s="7"/>
      <c r="I74" s="7"/>
      <c r="K74" s="7"/>
      <c r="L74" s="7"/>
      <c r="M74" s="7"/>
      <c r="N74" s="40"/>
      <c r="X74" s="185" t="s">
        <v>203</v>
      </c>
    </row>
    <row r="75" spans="1:47">
      <c r="A75" s="185" t="s">
        <v>16</v>
      </c>
      <c r="C75" s="38" t="str">
        <f>C54</f>
        <v>Low Income</v>
      </c>
      <c r="D75" s="185" t="s">
        <v>191</v>
      </c>
      <c r="E75" s="186">
        <f>E$25*E$13</f>
        <v>0.52328781566897309</v>
      </c>
      <c r="F75" s="61">
        <f>IF($D$4,X75,O75)</f>
        <v>0.52721986436368018</v>
      </c>
      <c r="G75" s="61">
        <f t="shared" ref="G75:M75" si="184">IF($D$4,Y75,P75)</f>
        <v>0.53157529455599051</v>
      </c>
      <c r="H75" s="61">
        <f t="shared" si="184"/>
        <v>0.53822614051688755</v>
      </c>
      <c r="I75" s="61">
        <f t="shared" si="184"/>
        <v>0.56223178674461438</v>
      </c>
      <c r="J75" s="61">
        <f t="shared" si="184"/>
        <v>0.58554536003969848</v>
      </c>
      <c r="K75" s="61">
        <f t="shared" si="184"/>
        <v>0.55689157723080518</v>
      </c>
      <c r="L75" s="61">
        <f t="shared" si="184"/>
        <v>0.47972391745699688</v>
      </c>
      <c r="M75" s="61">
        <f t="shared" si="184"/>
        <v>0.39186632124043974</v>
      </c>
      <c r="N75" s="40"/>
      <c r="O75" s="186">
        <f t="shared" ref="O75:V75" si="185">O25*O13</f>
        <v>0.52721986436368018</v>
      </c>
      <c r="P75" s="186">
        <f t="shared" si="185"/>
        <v>0.53157529455599051</v>
      </c>
      <c r="Q75" s="186">
        <f>Q25*Q13</f>
        <v>0.53822614051688755</v>
      </c>
      <c r="R75" s="186">
        <f t="shared" si="185"/>
        <v>0.56223178674461438</v>
      </c>
      <c r="S75" s="186">
        <f t="shared" si="185"/>
        <v>0.58554536003969848</v>
      </c>
      <c r="T75" s="186">
        <f t="shared" si="185"/>
        <v>0.55689157723080518</v>
      </c>
      <c r="U75" s="186">
        <f t="shared" si="185"/>
        <v>0.47972391745699688</v>
      </c>
      <c r="V75" s="186">
        <f t="shared" si="185"/>
        <v>0.39186632124043974</v>
      </c>
      <c r="X75" s="186">
        <f>O75</f>
        <v>0.52721986436368018</v>
      </c>
      <c r="Y75" s="186">
        <f t="shared" ref="Y75:AB75" si="186">P75</f>
        <v>0.53157529455599051</v>
      </c>
      <c r="Z75" s="186">
        <f t="shared" si="186"/>
        <v>0.53822614051688755</v>
      </c>
      <c r="AA75" s="186">
        <f t="shared" si="186"/>
        <v>0.56223178674461438</v>
      </c>
      <c r="AB75" s="186">
        <f t="shared" si="186"/>
        <v>0.58554536003969848</v>
      </c>
      <c r="AC75" s="186">
        <f>AC25*AC13</f>
        <v>1.3922289430770132</v>
      </c>
      <c r="AD75" s="186">
        <f>AD25*AD13</f>
        <v>0.95944783491399377</v>
      </c>
      <c r="AE75" s="186">
        <f>AE25*AE13</f>
        <v>0.78373264248087948</v>
      </c>
    </row>
    <row r="76" spans="1:47">
      <c r="A76" s="185" t="s">
        <v>16</v>
      </c>
      <c r="C76" s="38"/>
      <c r="E76" s="186"/>
      <c r="F76" s="186"/>
      <c r="G76" s="186"/>
      <c r="I76" s="186"/>
      <c r="K76" s="186"/>
      <c r="L76" s="186"/>
      <c r="M76" s="186"/>
      <c r="N76" s="40"/>
      <c r="O76" s="304">
        <f>O$12</f>
        <v>2015</v>
      </c>
      <c r="P76" s="304">
        <f t="shared" ref="P76:V76" si="187">P$12</f>
        <v>2017</v>
      </c>
      <c r="Q76" s="304">
        <f t="shared" si="187"/>
        <v>2019</v>
      </c>
      <c r="R76" s="304">
        <f t="shared" si="187"/>
        <v>2020</v>
      </c>
      <c r="S76" s="304">
        <f t="shared" si="187"/>
        <v>2021</v>
      </c>
      <c r="T76" s="304">
        <f t="shared" si="187"/>
        <v>2030</v>
      </c>
      <c r="U76" s="304">
        <f t="shared" si="187"/>
        <v>2040</v>
      </c>
      <c r="V76" s="304">
        <f t="shared" si="187"/>
        <v>2050</v>
      </c>
      <c r="X76" s="304">
        <f>X$12</f>
        <v>2015</v>
      </c>
      <c r="Y76" s="304">
        <f t="shared" ref="Y76:AE76" si="188">Y$12</f>
        <v>2017</v>
      </c>
      <c r="Z76" s="304">
        <f t="shared" si="188"/>
        <v>2019</v>
      </c>
      <c r="AA76" s="304">
        <f t="shared" si="188"/>
        <v>2020</v>
      </c>
      <c r="AB76" s="304">
        <f t="shared" si="188"/>
        <v>2021</v>
      </c>
      <c r="AC76" s="304">
        <f t="shared" si="188"/>
        <v>2030</v>
      </c>
      <c r="AD76" s="304">
        <f t="shared" si="188"/>
        <v>2040</v>
      </c>
      <c r="AE76" s="304">
        <f t="shared" si="188"/>
        <v>2050</v>
      </c>
    </row>
    <row r="77" spans="1:47">
      <c r="A77" s="185" t="s">
        <v>16</v>
      </c>
      <c r="C77" s="185" t="s">
        <v>83</v>
      </c>
      <c r="D77" s="185" t="s">
        <v>48</v>
      </c>
      <c r="E77" s="230">
        <f>[2]Calib_1011!$H$92</f>
        <v>2.035E-2</v>
      </c>
      <c r="F77" s="62">
        <f t="shared" ref="F77:F89" si="189">IF($D$4,X77,O77)</f>
        <v>0.25414691943127965</v>
      </c>
      <c r="G77" s="62">
        <f t="shared" ref="G77:G79" si="190">IF($D$4,Y77,P77)</f>
        <v>0.25414691943127965</v>
      </c>
      <c r="H77" s="62">
        <f t="shared" ref="H77:H79" si="191">IF($D$4,Z77,Q77)</f>
        <v>0.25414691943127965</v>
      </c>
      <c r="I77" s="62">
        <f t="shared" ref="I77:I79" si="192">IF($D$4,AA77,R77)</f>
        <v>0.25414691943127965</v>
      </c>
      <c r="J77" s="62">
        <f t="shared" ref="J77:J79" si="193">IF($D$4,AB77,S77)</f>
        <v>0.25414691943127965</v>
      </c>
      <c r="K77" s="62">
        <f t="shared" ref="K77:K79" si="194">IF($D$4,AC77,T77)</f>
        <v>0.25414691943127965</v>
      </c>
      <c r="L77" s="62">
        <f t="shared" ref="L77:L79" si="195">IF($D$4,AD77,U77)</f>
        <v>0.25414691943127965</v>
      </c>
      <c r="M77" s="62">
        <f t="shared" ref="M77:M79" si="196">IF($D$4,AE77,V77)</f>
        <v>0.25414691943127965</v>
      </c>
      <c r="N77" s="242"/>
      <c r="O77" s="62">
        <f>O$41*1000*O$35*O$30/O$67/O$64</f>
        <v>0.25414691943127965</v>
      </c>
      <c r="P77" s="62">
        <f t="shared" ref="P77:V77" si="197">P$41*1000*P$35*P$30/P$67/P$64</f>
        <v>0.25414691943127965</v>
      </c>
      <c r="Q77" s="62">
        <f t="shared" si="197"/>
        <v>0.25414691943127965</v>
      </c>
      <c r="R77" s="186">
        <f t="shared" si="197"/>
        <v>0.25414691943127965</v>
      </c>
      <c r="S77" s="186">
        <f t="shared" si="197"/>
        <v>0.25414691943127965</v>
      </c>
      <c r="T77" s="291">
        <f t="shared" si="197"/>
        <v>0.25414691943127965</v>
      </c>
      <c r="U77" s="291">
        <f t="shared" si="197"/>
        <v>0.25414691943127965</v>
      </c>
      <c r="V77" s="291">
        <f t="shared" si="197"/>
        <v>0.25414691943127965</v>
      </c>
      <c r="W77" s="241"/>
      <c r="X77" s="62">
        <f>O77</f>
        <v>0.25414691943127965</v>
      </c>
      <c r="Y77" s="62">
        <f t="shared" ref="Y77:AB77" si="198">P77</f>
        <v>0.25414691943127965</v>
      </c>
      <c r="Z77" s="62">
        <f t="shared" si="198"/>
        <v>0.25414691943127965</v>
      </c>
      <c r="AA77" s="62">
        <f t="shared" si="198"/>
        <v>0.25414691943127965</v>
      </c>
      <c r="AB77" s="62">
        <f t="shared" si="198"/>
        <v>0.25414691943127965</v>
      </c>
      <c r="AC77" s="62">
        <f>AC$41*1000*AC$35*AC$30/AC$67/AC$64</f>
        <v>0.22936759478672983</v>
      </c>
      <c r="AD77" s="62">
        <f>AD$41*1000*AD$35*AD$30/AD$67/AD$64</f>
        <v>0.20700425429502367</v>
      </c>
      <c r="AE77" s="62">
        <f>AE$41*1000*AE$35*AE$30/AE$67/AE$64</f>
        <v>0.18682133950125882</v>
      </c>
      <c r="AF77" s="241"/>
      <c r="AG77" s="241"/>
      <c r="AH77" s="241"/>
      <c r="AI77" s="241"/>
      <c r="AJ77" s="241"/>
      <c r="AK77" s="241"/>
      <c r="AL77" s="241"/>
      <c r="AM77" s="241"/>
      <c r="AN77" s="241"/>
      <c r="AO77" s="241"/>
      <c r="AP77" s="241"/>
      <c r="AQ77" s="241"/>
      <c r="AR77" s="241"/>
      <c r="AS77" s="241"/>
      <c r="AT77" s="241"/>
      <c r="AU77" s="241"/>
    </row>
    <row r="78" spans="1:47">
      <c r="A78" s="185" t="s">
        <v>16</v>
      </c>
      <c r="C78" s="185" t="s">
        <v>63</v>
      </c>
      <c r="D78" s="185" t="s">
        <v>48</v>
      </c>
      <c r="E78" s="294">
        <v>5.0000000000000001E-3</v>
      </c>
      <c r="F78" s="62">
        <f t="shared" si="189"/>
        <v>5.0000000000000001E-3</v>
      </c>
      <c r="G78" s="62">
        <f t="shared" si="190"/>
        <v>5.0000000000000001E-3</v>
      </c>
      <c r="H78" s="62">
        <f t="shared" si="191"/>
        <v>5.0000000000000001E-3</v>
      </c>
      <c r="I78" s="62">
        <f t="shared" si="192"/>
        <v>5.0000000000000001E-3</v>
      </c>
      <c r="J78" s="62">
        <f t="shared" si="193"/>
        <v>2.75E-2</v>
      </c>
      <c r="K78" s="62">
        <f t="shared" si="194"/>
        <v>0.05</v>
      </c>
      <c r="L78" s="62">
        <f t="shared" si="195"/>
        <v>0.1</v>
      </c>
      <c r="M78" s="62">
        <f t="shared" si="196"/>
        <v>0.15</v>
      </c>
      <c r="N78" s="242"/>
      <c r="O78" s="231">
        <f>E78</f>
        <v>5.0000000000000001E-3</v>
      </c>
      <c r="P78" s="231">
        <f>O78</f>
        <v>5.0000000000000001E-3</v>
      </c>
      <c r="Q78" s="231">
        <f>P78</f>
        <v>5.0000000000000001E-3</v>
      </c>
      <c r="R78" s="186">
        <f>Q78</f>
        <v>5.0000000000000001E-3</v>
      </c>
      <c r="S78" s="24">
        <f>AVERAGE(R78,T78)</f>
        <v>2.75E-2</v>
      </c>
      <c r="T78" s="292">
        <v>0.05</v>
      </c>
      <c r="U78" s="34">
        <v>0.1</v>
      </c>
      <c r="V78" s="34">
        <v>0.15</v>
      </c>
      <c r="W78" s="241"/>
      <c r="X78" s="62">
        <f t="shared" ref="X78:X90" si="199">O78</f>
        <v>5.0000000000000001E-3</v>
      </c>
      <c r="Y78" s="62">
        <f t="shared" ref="Y78:Y90" si="200">P78</f>
        <v>5.0000000000000001E-3</v>
      </c>
      <c r="Z78" s="62">
        <f t="shared" ref="Z78:Z90" si="201">Q78</f>
        <v>5.0000000000000001E-3</v>
      </c>
      <c r="AA78" s="62">
        <f t="shared" ref="AA78:AA90" si="202">R78</f>
        <v>5.0000000000000001E-3</v>
      </c>
      <c r="AB78" s="136">
        <f t="shared" ref="AB78:AB90" si="203">S78</f>
        <v>2.75E-2</v>
      </c>
      <c r="AC78" s="70">
        <v>7.0000000000000007E-2</v>
      </c>
      <c r="AD78" s="70">
        <v>0.15</v>
      </c>
      <c r="AE78" s="70">
        <v>0.25</v>
      </c>
      <c r="AF78" s="241"/>
      <c r="AG78" s="241"/>
      <c r="AH78" s="241"/>
      <c r="AI78" s="241"/>
      <c r="AJ78" s="241"/>
      <c r="AK78" s="241"/>
      <c r="AL78" s="241"/>
      <c r="AM78" s="241"/>
      <c r="AN78" s="241"/>
      <c r="AO78" s="241"/>
      <c r="AP78" s="241"/>
      <c r="AQ78" s="241"/>
      <c r="AR78" s="241"/>
      <c r="AS78" s="241"/>
      <c r="AT78" s="241"/>
      <c r="AU78" s="241"/>
    </row>
    <row r="79" spans="1:47">
      <c r="A79" s="185" t="s">
        <v>16</v>
      </c>
      <c r="C79" s="185" t="s">
        <v>82</v>
      </c>
      <c r="D79" s="185" t="s">
        <v>48</v>
      </c>
      <c r="E79" s="294">
        <v>0</v>
      </c>
      <c r="F79" s="62">
        <f t="shared" si="189"/>
        <v>0</v>
      </c>
      <c r="G79" s="62">
        <f t="shared" si="190"/>
        <v>0</v>
      </c>
      <c r="H79" s="62">
        <f t="shared" si="191"/>
        <v>5.0000000000000001E-3</v>
      </c>
      <c r="I79" s="62">
        <f t="shared" si="192"/>
        <v>5.0000000000000001E-3</v>
      </c>
      <c r="J79" s="62">
        <f t="shared" si="193"/>
        <v>5.0000000000000001E-3</v>
      </c>
      <c r="K79" s="62">
        <f t="shared" si="194"/>
        <v>5.0000000000000001E-3</v>
      </c>
      <c r="L79" s="62">
        <f t="shared" si="195"/>
        <v>5.0000000000000001E-3</v>
      </c>
      <c r="M79" s="62">
        <f t="shared" si="196"/>
        <v>5.0000000000000001E-3</v>
      </c>
      <c r="N79" s="242"/>
      <c r="O79" s="231">
        <f>E79</f>
        <v>0</v>
      </c>
      <c r="P79" s="231">
        <f>O79</f>
        <v>0</v>
      </c>
      <c r="Q79" s="231">
        <v>5.0000000000000001E-3</v>
      </c>
      <c r="R79" s="186">
        <v>5.0000000000000001E-3</v>
      </c>
      <c r="S79" s="186">
        <v>5.0000000000000001E-3</v>
      </c>
      <c r="T79" s="292">
        <v>5.0000000000000001E-3</v>
      </c>
      <c r="U79" s="292">
        <v>5.0000000000000001E-3</v>
      </c>
      <c r="V79" s="292">
        <v>5.0000000000000001E-3</v>
      </c>
      <c r="W79" s="241"/>
      <c r="X79" s="62">
        <f t="shared" si="199"/>
        <v>0</v>
      </c>
      <c r="Y79" s="62">
        <f t="shared" si="200"/>
        <v>0</v>
      </c>
      <c r="Z79" s="62">
        <f t="shared" si="201"/>
        <v>5.0000000000000001E-3</v>
      </c>
      <c r="AA79" s="62">
        <f t="shared" si="202"/>
        <v>5.0000000000000001E-3</v>
      </c>
      <c r="AB79" s="62">
        <f t="shared" si="203"/>
        <v>5.0000000000000001E-3</v>
      </c>
      <c r="AC79" s="34">
        <v>0</v>
      </c>
      <c r="AD79" s="34">
        <v>0</v>
      </c>
      <c r="AE79" s="34">
        <v>0</v>
      </c>
      <c r="AF79" s="241"/>
      <c r="AG79" s="241"/>
      <c r="AH79" s="241"/>
      <c r="AI79" s="241"/>
      <c r="AJ79" s="241"/>
      <c r="AK79" s="241"/>
      <c r="AL79" s="241"/>
      <c r="AM79" s="241"/>
      <c r="AN79" s="241"/>
      <c r="AO79" s="241"/>
      <c r="AP79" s="241"/>
      <c r="AQ79" s="241"/>
      <c r="AR79" s="241"/>
      <c r="AS79" s="241"/>
      <c r="AT79" s="241"/>
      <c r="AU79" s="241"/>
    </row>
    <row r="80" spans="1:47">
      <c r="A80" s="185" t="s">
        <v>16</v>
      </c>
      <c r="C80" s="185" t="s">
        <v>81</v>
      </c>
      <c r="D80" s="185" t="s">
        <v>48</v>
      </c>
      <c r="E80" s="33">
        <f>1-SUM(E77:E79)</f>
        <v>0.97465000000000002</v>
      </c>
      <c r="F80" s="33">
        <f t="shared" ref="F80:M80" si="204">1-SUM(F77:F79)</f>
        <v>0.74085308056872035</v>
      </c>
      <c r="G80" s="33">
        <f t="shared" si="204"/>
        <v>0.74085308056872035</v>
      </c>
      <c r="H80" s="33">
        <f t="shared" si="204"/>
        <v>0.73585308056872034</v>
      </c>
      <c r="I80" s="33">
        <f t="shared" si="204"/>
        <v>0.73585308056872034</v>
      </c>
      <c r="J80" s="33">
        <f t="shared" si="204"/>
        <v>0.71335308056872027</v>
      </c>
      <c r="K80" s="33">
        <f t="shared" si="204"/>
        <v>0.6908530805687203</v>
      </c>
      <c r="L80" s="33">
        <f t="shared" si="204"/>
        <v>0.64085308056872037</v>
      </c>
      <c r="M80" s="33">
        <f t="shared" si="204"/>
        <v>0.59085308056872032</v>
      </c>
      <c r="N80" s="242"/>
      <c r="O80" s="33">
        <f>1-SUM(O77:O79)</f>
        <v>0.74085308056872035</v>
      </c>
      <c r="P80" s="33">
        <f t="shared" ref="P80:R80" si="205">1-SUM(P77:P79)</f>
        <v>0.74085308056872035</v>
      </c>
      <c r="Q80" s="33">
        <f t="shared" si="205"/>
        <v>0.73585308056872034</v>
      </c>
      <c r="R80" s="33">
        <f t="shared" si="205"/>
        <v>0.73585308056872034</v>
      </c>
      <c r="S80" s="33">
        <f t="shared" ref="S80" si="206">1-SUM(S77:S79)</f>
        <v>0.71335308056872027</v>
      </c>
      <c r="T80" s="33">
        <f t="shared" ref="T80:U80" si="207">1-SUM(T77:T79)</f>
        <v>0.6908530805687203</v>
      </c>
      <c r="U80" s="33">
        <f t="shared" si="207"/>
        <v>0.64085308056872037</v>
      </c>
      <c r="V80" s="33">
        <f t="shared" ref="V80" si="208">1-SUM(V77:V79)</f>
        <v>0.59085308056872032</v>
      </c>
      <c r="W80" s="241"/>
      <c r="X80" s="62">
        <f t="shared" si="199"/>
        <v>0.74085308056872035</v>
      </c>
      <c r="Y80" s="62">
        <f t="shared" si="200"/>
        <v>0.74085308056872035</v>
      </c>
      <c r="Z80" s="62">
        <f t="shared" si="201"/>
        <v>0.73585308056872034</v>
      </c>
      <c r="AA80" s="62">
        <f t="shared" si="202"/>
        <v>0.73585308056872034</v>
      </c>
      <c r="AB80" s="62">
        <f t="shared" si="203"/>
        <v>0.71335308056872027</v>
      </c>
      <c r="AC80" s="33">
        <f>1-SUM(AC77:AC79)</f>
        <v>0.70063240521327019</v>
      </c>
      <c r="AD80" s="33">
        <f>1-SUM(AD77:AD79)</f>
        <v>0.64299574570497631</v>
      </c>
      <c r="AE80" s="33">
        <f>1-SUM(AE77:AE79)</f>
        <v>0.56317866049874121</v>
      </c>
      <c r="AF80" s="241"/>
      <c r="AG80" s="241"/>
      <c r="AH80" s="241"/>
      <c r="AI80" s="241"/>
      <c r="AJ80" s="241"/>
      <c r="AK80" s="241"/>
      <c r="AL80" s="241"/>
      <c r="AM80" s="241"/>
      <c r="AN80" s="241"/>
      <c r="AO80" s="241"/>
      <c r="AP80" s="241"/>
      <c r="AQ80" s="241"/>
      <c r="AR80" s="241"/>
      <c r="AS80" s="241"/>
      <c r="AT80" s="241"/>
      <c r="AU80" s="241"/>
    </row>
    <row r="81" spans="1:47">
      <c r="A81" s="185" t="s">
        <v>16</v>
      </c>
      <c r="C81" s="38" t="str">
        <f>C55</f>
        <v>Middle Income</v>
      </c>
      <c r="D81" s="185" t="s">
        <v>191</v>
      </c>
      <c r="E81" s="186">
        <f t="shared" ref="E81" si="209">E$26*E$14</f>
        <v>8.3202762691366736</v>
      </c>
      <c r="F81" s="186">
        <f t="shared" si="189"/>
        <v>8.7980675070445074</v>
      </c>
      <c r="G81" s="186">
        <f t="shared" ref="G81:G84" si="210">IF($D$4,Y81,P81)</f>
        <v>9.1683718080067855</v>
      </c>
      <c r="H81" s="186">
        <f t="shared" ref="H81:H84" si="211">IF($D$4,Z81,Q81)</f>
        <v>9.6599844081743882</v>
      </c>
      <c r="I81" s="186">
        <f t="shared" ref="I81:I84" si="212">IF($D$4,AA81,R81)</f>
        <v>10.176681245992439</v>
      </c>
      <c r="J81" s="186">
        <f t="shared" ref="J81:J84" si="213">IF($D$4,AB81,S81)</f>
        <v>9.7553916620170043</v>
      </c>
      <c r="K81" s="186">
        <f t="shared" ref="K81:K84" si="214">IF($D$4,AC81,T81)</f>
        <v>11.351165240487216</v>
      </c>
      <c r="L81" s="186">
        <f t="shared" ref="L81:L84" si="215">IF($D$4,AD81,U81)</f>
        <v>13.077292454263857</v>
      </c>
      <c r="M81" s="186">
        <f t="shared" ref="M81:M84" si="216">IF($D$4,AE81,V81)</f>
        <v>14.480915231917292</v>
      </c>
      <c r="N81" s="40"/>
      <c r="O81" s="186">
        <f>O$26*O$14</f>
        <v>8.7980675070445074</v>
      </c>
      <c r="P81" s="186">
        <f t="shared" ref="P81:V81" si="217">P$26*P$14</f>
        <v>9.1683718080067855</v>
      </c>
      <c r="Q81" s="186">
        <f t="shared" si="217"/>
        <v>9.6599844081743882</v>
      </c>
      <c r="R81" s="186">
        <f t="shared" si="217"/>
        <v>10.176681245992439</v>
      </c>
      <c r="S81" s="186">
        <f t="shared" si="217"/>
        <v>9.7553916620170043</v>
      </c>
      <c r="T81" s="293">
        <f t="shared" si="217"/>
        <v>11.351165240487216</v>
      </c>
      <c r="U81" s="293">
        <f t="shared" si="217"/>
        <v>13.077292454263857</v>
      </c>
      <c r="V81" s="293">
        <f t="shared" si="217"/>
        <v>14.480915231917292</v>
      </c>
      <c r="X81" s="62">
        <f t="shared" si="199"/>
        <v>8.7980675070445074</v>
      </c>
      <c r="Y81" s="62">
        <f t="shared" si="200"/>
        <v>9.1683718080067855</v>
      </c>
      <c r="Z81" s="62">
        <f t="shared" si="201"/>
        <v>9.6599844081743882</v>
      </c>
      <c r="AA81" s="62">
        <f t="shared" si="202"/>
        <v>10.176681245992439</v>
      </c>
      <c r="AB81" s="62">
        <f t="shared" si="203"/>
        <v>9.7553916620170043</v>
      </c>
      <c r="AC81" s="186">
        <f>AC$26*AC$14</f>
        <v>10.783606978462853</v>
      </c>
      <c r="AD81" s="186">
        <f>AD$26*AD$14</f>
        <v>11.802256439973128</v>
      </c>
      <c r="AE81" s="186">
        <f>AE$26*AE$14</f>
        <v>12.415574696965086</v>
      </c>
    </row>
    <row r="82" spans="1:47">
      <c r="A82" s="185" t="s">
        <v>16</v>
      </c>
      <c r="C82" s="185" t="str">
        <f>C77</f>
        <v>Priv.veh.</v>
      </c>
      <c r="D82" s="185" t="s">
        <v>48</v>
      </c>
      <c r="E82" s="62">
        <f t="shared" ref="E82" si="218">E$42*1000*E$36*E$31/E$67/E$64</f>
        <v>0.53206565737051803</v>
      </c>
      <c r="F82" s="62">
        <f t="shared" si="189"/>
        <v>0.53206565737051803</v>
      </c>
      <c r="G82" s="62">
        <f t="shared" si="210"/>
        <v>0.53206565737051803</v>
      </c>
      <c r="H82" s="62">
        <f t="shared" si="211"/>
        <v>0.53206565737051803</v>
      </c>
      <c r="I82" s="62">
        <f t="shared" si="212"/>
        <v>0.53206565737051803</v>
      </c>
      <c r="J82" s="62">
        <f t="shared" si="213"/>
        <v>0.53206565737051803</v>
      </c>
      <c r="K82" s="62">
        <f t="shared" si="214"/>
        <v>0.53206565737051803</v>
      </c>
      <c r="L82" s="62">
        <f t="shared" si="215"/>
        <v>0.53206565737051803</v>
      </c>
      <c r="M82" s="62">
        <f t="shared" si="216"/>
        <v>0.53206565737051803</v>
      </c>
      <c r="N82" s="242"/>
      <c r="O82" s="62">
        <f>O$42*1000*O$36*O$31/O$67/O$64</f>
        <v>0.53206565737051803</v>
      </c>
      <c r="P82" s="62">
        <f t="shared" ref="P82:V82" si="219">P$42*1000*P$36*P$31/P$67/P$64</f>
        <v>0.53206565737051803</v>
      </c>
      <c r="Q82" s="62">
        <f t="shared" si="219"/>
        <v>0.53206565737051803</v>
      </c>
      <c r="R82" s="186">
        <f t="shared" si="219"/>
        <v>0.53206565737051803</v>
      </c>
      <c r="S82" s="186">
        <f t="shared" si="219"/>
        <v>0.53206565737051803</v>
      </c>
      <c r="T82" s="291">
        <f t="shared" si="219"/>
        <v>0.53206565737051803</v>
      </c>
      <c r="U82" s="291">
        <f t="shared" si="219"/>
        <v>0.53206565737051803</v>
      </c>
      <c r="V82" s="291">
        <f t="shared" si="219"/>
        <v>0.53206565737051803</v>
      </c>
      <c r="W82" s="241"/>
      <c r="X82" s="62">
        <f t="shared" si="199"/>
        <v>0.53206565737051803</v>
      </c>
      <c r="Y82" s="62">
        <f t="shared" si="200"/>
        <v>0.53206565737051803</v>
      </c>
      <c r="Z82" s="62">
        <f t="shared" si="201"/>
        <v>0.53206565737051803</v>
      </c>
      <c r="AA82" s="62">
        <f t="shared" si="202"/>
        <v>0.53206565737051803</v>
      </c>
      <c r="AB82" s="62">
        <f t="shared" si="203"/>
        <v>0.53206565737051803</v>
      </c>
      <c r="AC82" s="62">
        <f>AC$42*1000*AC$36*AC$31/AC$67/AC$64</f>
        <v>0.48018925577689242</v>
      </c>
      <c r="AD82" s="62">
        <f>AD$42*1000*AD$36*AD$31/AD$67/AD$64</f>
        <v>0.45617979298804778</v>
      </c>
      <c r="AE82" s="62">
        <f>AE$42*1000*AE$36*AE$31/AE$67/AE$64</f>
        <v>0.41170226317171299</v>
      </c>
      <c r="AF82" s="241"/>
      <c r="AG82" s="241"/>
      <c r="AH82" s="241"/>
      <c r="AI82" s="241"/>
      <c r="AJ82" s="241"/>
      <c r="AK82" s="241"/>
      <c r="AL82" s="241"/>
      <c r="AM82" s="241"/>
      <c r="AN82" s="241"/>
      <c r="AO82" s="241"/>
      <c r="AP82" s="241"/>
      <c r="AQ82" s="241"/>
      <c r="AR82" s="241"/>
      <c r="AS82" s="241"/>
      <c r="AT82" s="241"/>
      <c r="AU82" s="241"/>
    </row>
    <row r="83" spans="1:47">
      <c r="A83" s="185" t="s">
        <v>16</v>
      </c>
      <c r="C83" s="185" t="str">
        <f>C78</f>
        <v>BRT</v>
      </c>
      <c r="D83" s="185" t="s">
        <v>48</v>
      </c>
      <c r="E83" s="294">
        <v>0.01</v>
      </c>
      <c r="F83" s="62">
        <f t="shared" si="189"/>
        <v>0.01</v>
      </c>
      <c r="G83" s="62">
        <f t="shared" si="210"/>
        <v>0.01</v>
      </c>
      <c r="H83" s="62">
        <f t="shared" si="211"/>
        <v>0.01</v>
      </c>
      <c r="I83" s="62">
        <f t="shared" si="212"/>
        <v>0.01</v>
      </c>
      <c r="J83" s="62">
        <f t="shared" si="213"/>
        <v>3.0000000000000002E-2</v>
      </c>
      <c r="K83" s="62">
        <f t="shared" si="214"/>
        <v>0.05</v>
      </c>
      <c r="L83" s="62">
        <f t="shared" si="215"/>
        <v>0.1</v>
      </c>
      <c r="M83" s="62">
        <f t="shared" si="216"/>
        <v>0.15</v>
      </c>
      <c r="N83" s="242"/>
      <c r="O83" s="243">
        <f>E83</f>
        <v>0.01</v>
      </c>
      <c r="P83" s="243">
        <f>O83</f>
        <v>0.01</v>
      </c>
      <c r="Q83" s="243">
        <f t="shared" ref="Q83:U84" si="220">P83</f>
        <v>0.01</v>
      </c>
      <c r="R83" s="186">
        <f>Q83</f>
        <v>0.01</v>
      </c>
      <c r="S83" s="186">
        <f>AVERAGE(R83,T83)</f>
        <v>3.0000000000000002E-2</v>
      </c>
      <c r="T83" s="292">
        <v>0.05</v>
      </c>
      <c r="U83" s="34">
        <v>0.1</v>
      </c>
      <c r="V83" s="34">
        <v>0.15</v>
      </c>
      <c r="W83" s="241"/>
      <c r="X83" s="62">
        <f t="shared" si="199"/>
        <v>0.01</v>
      </c>
      <c r="Y83" s="62">
        <f t="shared" si="200"/>
        <v>0.01</v>
      </c>
      <c r="Z83" s="62">
        <f t="shared" si="201"/>
        <v>0.01</v>
      </c>
      <c r="AA83" s="62">
        <f t="shared" si="202"/>
        <v>0.01</v>
      </c>
      <c r="AB83" s="62">
        <f t="shared" si="203"/>
        <v>3.0000000000000002E-2</v>
      </c>
      <c r="AC83" s="70">
        <v>7.0000000000000007E-2</v>
      </c>
      <c r="AD83" s="70">
        <v>0.15</v>
      </c>
      <c r="AE83" s="70">
        <v>0.25</v>
      </c>
      <c r="AF83" s="241"/>
      <c r="AG83" s="241"/>
      <c r="AH83" s="241"/>
      <c r="AI83" s="241"/>
      <c r="AJ83" s="241"/>
      <c r="AK83" s="241"/>
      <c r="AL83" s="241"/>
      <c r="AM83" s="241"/>
      <c r="AN83" s="241"/>
      <c r="AO83" s="241"/>
      <c r="AP83" s="241"/>
      <c r="AQ83" s="241"/>
      <c r="AR83" s="241"/>
      <c r="AS83" s="241"/>
      <c r="AT83" s="241"/>
      <c r="AU83" s="241"/>
    </row>
    <row r="84" spans="1:47">
      <c r="A84" s="185" t="s">
        <v>16</v>
      </c>
      <c r="C84" s="185" t="str">
        <f>C79</f>
        <v>Gautrain</v>
      </c>
      <c r="D84" s="185" t="s">
        <v>48</v>
      </c>
      <c r="E84" s="294">
        <v>2E-3</v>
      </c>
      <c r="F84" s="137">
        <f t="shared" si="189"/>
        <v>2E-3</v>
      </c>
      <c r="G84" s="137">
        <f t="shared" si="210"/>
        <v>2E-3</v>
      </c>
      <c r="H84" s="137">
        <f t="shared" si="211"/>
        <v>2E-3</v>
      </c>
      <c r="I84" s="137">
        <f t="shared" si="212"/>
        <v>2E-3</v>
      </c>
      <c r="J84" s="137">
        <f t="shared" si="213"/>
        <v>2E-3</v>
      </c>
      <c r="K84" s="137">
        <f t="shared" si="214"/>
        <v>2E-3</v>
      </c>
      <c r="L84" s="137">
        <f t="shared" si="215"/>
        <v>2E-3</v>
      </c>
      <c r="M84" s="137">
        <f t="shared" si="216"/>
        <v>2E-3</v>
      </c>
      <c r="N84" s="242"/>
      <c r="O84" s="295">
        <f>E84</f>
        <v>2E-3</v>
      </c>
      <c r="P84" s="295">
        <f>O84</f>
        <v>2E-3</v>
      </c>
      <c r="Q84" s="295">
        <f t="shared" si="220"/>
        <v>2E-3</v>
      </c>
      <c r="R84" s="186">
        <f t="shared" si="220"/>
        <v>2E-3</v>
      </c>
      <c r="S84" s="186">
        <f t="shared" si="220"/>
        <v>2E-3</v>
      </c>
      <c r="T84" s="296">
        <f t="shared" si="220"/>
        <v>2E-3</v>
      </c>
      <c r="U84" s="296">
        <f t="shared" si="220"/>
        <v>2E-3</v>
      </c>
      <c r="V84" s="296">
        <f>U84</f>
        <v>2E-3</v>
      </c>
      <c r="W84" s="241"/>
      <c r="X84" s="62">
        <f t="shared" si="199"/>
        <v>2E-3</v>
      </c>
      <c r="Y84" s="62">
        <f t="shared" si="200"/>
        <v>2E-3</v>
      </c>
      <c r="Z84" s="62">
        <f t="shared" si="201"/>
        <v>2E-3</v>
      </c>
      <c r="AA84" s="62">
        <f t="shared" si="202"/>
        <v>2E-3</v>
      </c>
      <c r="AB84" s="62">
        <f t="shared" si="203"/>
        <v>2E-3</v>
      </c>
      <c r="AC84" s="72">
        <v>0.01</v>
      </c>
      <c r="AD84" s="72">
        <v>0.02</v>
      </c>
      <c r="AE84" s="72">
        <v>0.03</v>
      </c>
      <c r="AF84" s="241"/>
      <c r="AG84" s="241"/>
      <c r="AH84" s="241"/>
      <c r="AI84" s="241"/>
      <c r="AJ84" s="241"/>
      <c r="AK84" s="241"/>
      <c r="AL84" s="241"/>
      <c r="AM84" s="241"/>
      <c r="AN84" s="241"/>
      <c r="AO84" s="241"/>
      <c r="AP84" s="241"/>
      <c r="AQ84" s="241"/>
      <c r="AR84" s="241"/>
      <c r="AS84" s="241"/>
      <c r="AT84" s="241"/>
      <c r="AU84" s="241"/>
    </row>
    <row r="85" spans="1:47">
      <c r="A85" s="185" t="s">
        <v>16</v>
      </c>
      <c r="C85" s="185" t="str">
        <f>C80</f>
        <v>Bus, minibus, metro rail</v>
      </c>
      <c r="D85" s="185" t="s">
        <v>48</v>
      </c>
      <c r="E85" s="33">
        <f t="shared" ref="E85" si="221">1-SUM(E82:E84)</f>
        <v>0.45593434262948196</v>
      </c>
      <c r="F85" s="33">
        <f>1-SUM(F82:F84)</f>
        <v>0.45593434262948196</v>
      </c>
      <c r="G85" s="33">
        <f t="shared" ref="G85:M85" si="222">1-SUM(G82:G84)</f>
        <v>0.45593434262948196</v>
      </c>
      <c r="H85" s="33">
        <f t="shared" si="222"/>
        <v>0.45593434262948196</v>
      </c>
      <c r="I85" s="33">
        <f t="shared" si="222"/>
        <v>0.45593434262948196</v>
      </c>
      <c r="J85" s="33">
        <f t="shared" si="222"/>
        <v>0.43593434262948194</v>
      </c>
      <c r="K85" s="33">
        <f t="shared" si="222"/>
        <v>0.41593434262948192</v>
      </c>
      <c r="L85" s="33">
        <f t="shared" si="222"/>
        <v>0.36593434262948199</v>
      </c>
      <c r="M85" s="33">
        <f t="shared" si="222"/>
        <v>0.31593434262948195</v>
      </c>
      <c r="N85" s="242"/>
      <c r="O85" s="33">
        <f>1-SUM(O82:O84)</f>
        <v>0.45593434262948196</v>
      </c>
      <c r="P85" s="33">
        <f t="shared" ref="P85:R85" si="223">1-SUM(P82:P84)</f>
        <v>0.45593434262948196</v>
      </c>
      <c r="Q85" s="33">
        <f t="shared" si="223"/>
        <v>0.45593434262948196</v>
      </c>
      <c r="R85" s="33">
        <f t="shared" si="223"/>
        <v>0.45593434262948196</v>
      </c>
      <c r="S85" s="33">
        <f t="shared" ref="S85" si="224">1-SUM(S82:S84)</f>
        <v>0.43593434262948194</v>
      </c>
      <c r="T85" s="33">
        <f t="shared" ref="T85:U85" si="225">1-SUM(T82:T84)</f>
        <v>0.41593434262948192</v>
      </c>
      <c r="U85" s="33">
        <f t="shared" si="225"/>
        <v>0.36593434262948199</v>
      </c>
      <c r="V85" s="33">
        <f t="shared" ref="V85" si="226">1-SUM(V82:V84)</f>
        <v>0.31593434262948195</v>
      </c>
      <c r="W85" s="241"/>
      <c r="X85" s="62">
        <f t="shared" si="199"/>
        <v>0.45593434262948196</v>
      </c>
      <c r="Y85" s="62">
        <f t="shared" si="200"/>
        <v>0.45593434262948196</v>
      </c>
      <c r="Z85" s="62">
        <f t="shared" si="201"/>
        <v>0.45593434262948196</v>
      </c>
      <c r="AA85" s="62">
        <f t="shared" si="202"/>
        <v>0.45593434262948196</v>
      </c>
      <c r="AB85" s="62">
        <f t="shared" si="203"/>
        <v>0.43593434262948194</v>
      </c>
      <c r="AC85" s="33">
        <f>1-SUM(AC82:AC84)</f>
        <v>0.43981074422310762</v>
      </c>
      <c r="AD85" s="33">
        <f>1-SUM(AD82:AD84)</f>
        <v>0.37382020701195218</v>
      </c>
      <c r="AE85" s="33">
        <f>1-SUM(AE82:AE84)</f>
        <v>0.30829773682828698</v>
      </c>
      <c r="AF85" s="241"/>
      <c r="AG85" s="241"/>
      <c r="AH85" s="241"/>
      <c r="AI85" s="241"/>
      <c r="AJ85" s="241"/>
      <c r="AK85" s="241"/>
      <c r="AL85" s="241"/>
      <c r="AM85" s="241"/>
      <c r="AN85" s="241"/>
      <c r="AO85" s="241"/>
      <c r="AP85" s="241"/>
      <c r="AQ85" s="241"/>
      <c r="AR85" s="241"/>
      <c r="AS85" s="241"/>
      <c r="AT85" s="241"/>
      <c r="AU85" s="241"/>
    </row>
    <row r="86" spans="1:47">
      <c r="A86" s="185" t="s">
        <v>16</v>
      </c>
      <c r="C86" s="38" t="str">
        <f>C56</f>
        <v>High Income</v>
      </c>
      <c r="D86" s="185" t="s">
        <v>191</v>
      </c>
      <c r="E86" s="186">
        <f t="shared" ref="E86" si="227">E$27*E$15</f>
        <v>8.0362601298230896</v>
      </c>
      <c r="F86" s="186">
        <f t="shared" si="189"/>
        <v>9.0555113527089066</v>
      </c>
      <c r="G86" s="186">
        <f t="shared" ref="G86:G89" si="228">IF($D$4,Y86,P86)</f>
        <v>9.7122420295575029</v>
      </c>
      <c r="H86" s="186">
        <f t="shared" ref="H86:H89" si="229">IF($D$4,Z86,Q86)</f>
        <v>10.159875186414988</v>
      </c>
      <c r="I86" s="186">
        <f t="shared" ref="I86:I89" si="230">IF($D$4,AA86,R86)</f>
        <v>9.2140829898992127</v>
      </c>
      <c r="J86" s="186">
        <f t="shared" ref="J86:J89" si="231">IF($D$4,AB86,S86)</f>
        <v>9.4538078344193117</v>
      </c>
      <c r="K86" s="186">
        <f t="shared" ref="K86:K89" si="232">IF($D$4,AC86,T86)</f>
        <v>12.822964382433305</v>
      </c>
      <c r="L86" s="186">
        <f t="shared" ref="L86:L89" si="233">IF($D$4,AD86,U86)</f>
        <v>17.447555260124069</v>
      </c>
      <c r="M86" s="186">
        <f t="shared" ref="M86:M89" si="234">IF($D$4,AE86,V86)</f>
        <v>21.969513651019785</v>
      </c>
      <c r="N86" s="40"/>
      <c r="O86" s="186">
        <f>O$27*O$15</f>
        <v>9.0555113527089066</v>
      </c>
      <c r="P86" s="186">
        <f t="shared" ref="P86:V86" si="235">P$27*P$15</f>
        <v>9.7122420295575029</v>
      </c>
      <c r="Q86" s="186">
        <f t="shared" si="235"/>
        <v>10.159875186414988</v>
      </c>
      <c r="R86" s="186">
        <f t="shared" si="235"/>
        <v>9.2140829898992127</v>
      </c>
      <c r="S86" s="186">
        <f t="shared" si="235"/>
        <v>9.4538078344193117</v>
      </c>
      <c r="T86" s="293">
        <f t="shared" si="235"/>
        <v>12.822964382433305</v>
      </c>
      <c r="U86" s="293">
        <f t="shared" si="235"/>
        <v>17.447555260124069</v>
      </c>
      <c r="V86" s="293">
        <f t="shared" si="235"/>
        <v>21.969513651019785</v>
      </c>
      <c r="X86" s="62">
        <f t="shared" si="199"/>
        <v>9.0555113527089066</v>
      </c>
      <c r="Y86" s="62">
        <f t="shared" si="200"/>
        <v>9.7122420295575029</v>
      </c>
      <c r="Z86" s="62">
        <f t="shared" si="201"/>
        <v>10.159875186414988</v>
      </c>
      <c r="AA86" s="62">
        <f t="shared" si="202"/>
        <v>9.2140829898992127</v>
      </c>
      <c r="AB86" s="62">
        <f t="shared" si="203"/>
        <v>9.4538078344193117</v>
      </c>
      <c r="AC86" s="186">
        <f>AC$27*AC$15</f>
        <v>12.502390272872471</v>
      </c>
      <c r="AD86" s="186">
        <f>AD$27*AD$15</f>
        <v>16.58608221915544</v>
      </c>
      <c r="AE86" s="186">
        <f>AE$27*AE$15</f>
        <v>20.362649691638165</v>
      </c>
    </row>
    <row r="87" spans="1:47">
      <c r="A87" s="185" t="s">
        <v>16</v>
      </c>
      <c r="C87" s="185" t="str">
        <f>C82</f>
        <v>Priv.veh.</v>
      </c>
      <c r="D87" s="185" t="s">
        <v>48</v>
      </c>
      <c r="E87" s="294">
        <f t="shared" ref="E87" si="236">E$43*1000*E$37*E$32/E$67/E$64</f>
        <v>0.81893071119533589</v>
      </c>
      <c r="F87" s="62">
        <f t="shared" si="189"/>
        <v>0.81893071119533589</v>
      </c>
      <c r="G87" s="62">
        <f t="shared" si="228"/>
        <v>0.80255209697142915</v>
      </c>
      <c r="H87" s="62">
        <f t="shared" si="229"/>
        <v>0.80255209697142915</v>
      </c>
      <c r="I87" s="62">
        <f t="shared" si="230"/>
        <v>0.79296529717825504</v>
      </c>
      <c r="J87" s="62">
        <f t="shared" si="231"/>
        <v>0.80336256943146644</v>
      </c>
      <c r="K87" s="62">
        <f t="shared" si="232"/>
        <v>0.81804195192938378</v>
      </c>
      <c r="L87" s="62">
        <f t="shared" si="233"/>
        <v>0.86620675096641409</v>
      </c>
      <c r="M87" s="62">
        <f t="shared" si="234"/>
        <v>0.92478925498134967</v>
      </c>
      <c r="N87" s="242"/>
      <c r="O87" s="62">
        <f>O$43*1000*O$37*O$32/O$67/O$64</f>
        <v>0.81893071119533589</v>
      </c>
      <c r="P87" s="62">
        <f t="shared" ref="P87:U87" si="237">P$43*1000*P$37*P$32/P$67/P$64</f>
        <v>0.80255209697142915</v>
      </c>
      <c r="Q87" s="62">
        <f t="shared" si="237"/>
        <v>0.80255209697142915</v>
      </c>
      <c r="R87" s="186">
        <f t="shared" si="237"/>
        <v>0.79296529717825504</v>
      </c>
      <c r="S87" s="186">
        <f t="shared" si="237"/>
        <v>0.80336256943146644</v>
      </c>
      <c r="T87" s="291">
        <f t="shared" si="237"/>
        <v>0.81804195192938378</v>
      </c>
      <c r="U87" s="291">
        <f t="shared" si="237"/>
        <v>0.86620675096641409</v>
      </c>
      <c r="V87" s="291">
        <f>V$43*1000*V$37*V$32/V$67/V$64</f>
        <v>0.92478925498134967</v>
      </c>
      <c r="W87" s="241"/>
      <c r="X87" s="62">
        <f t="shared" si="199"/>
        <v>0.81893071119533589</v>
      </c>
      <c r="Y87" s="62">
        <f t="shared" si="200"/>
        <v>0.80255209697142915</v>
      </c>
      <c r="Z87" s="62">
        <f t="shared" si="201"/>
        <v>0.80255209697142915</v>
      </c>
      <c r="AA87" s="62">
        <f t="shared" si="202"/>
        <v>0.79296529717825504</v>
      </c>
      <c r="AB87" s="62">
        <f t="shared" si="203"/>
        <v>0.80336256943146644</v>
      </c>
      <c r="AC87" s="62">
        <f>AC$43*1000*AC$37*AC$32/AC$67/AC$64</f>
        <v>0.75381263563007883</v>
      </c>
      <c r="AD87" s="62">
        <f>AD$43*1000*AD$37*AD$32/AD$67/AD$64</f>
        <v>0.71659313674584368</v>
      </c>
      <c r="AE87" s="62">
        <f>AE$43*1000*AE$37*AE$32/AE$67/AE$64</f>
        <v>0.6812113506190175</v>
      </c>
      <c r="AF87" s="241"/>
      <c r="AG87" s="241"/>
      <c r="AH87" s="241"/>
      <c r="AI87" s="241"/>
      <c r="AJ87" s="241"/>
      <c r="AK87" s="241"/>
      <c r="AL87" s="241"/>
      <c r="AM87" s="241"/>
      <c r="AN87" s="241"/>
      <c r="AO87" s="241"/>
      <c r="AP87" s="241"/>
      <c r="AQ87" s="241"/>
      <c r="AR87" s="241"/>
      <c r="AS87" s="241"/>
      <c r="AT87" s="241"/>
      <c r="AU87" s="241"/>
    </row>
    <row r="88" spans="1:47">
      <c r="A88" s="185" t="s">
        <v>16</v>
      </c>
      <c r="C88" s="185" t="str">
        <f>C83</f>
        <v>BRT</v>
      </c>
      <c r="D88" s="185" t="s">
        <v>48</v>
      </c>
      <c r="E88" s="294">
        <v>0</v>
      </c>
      <c r="F88" s="62">
        <f t="shared" si="189"/>
        <v>5.0000000000000001E-3</v>
      </c>
      <c r="G88" s="62">
        <f t="shared" si="228"/>
        <v>5.0000000000000001E-3</v>
      </c>
      <c r="H88" s="62">
        <f t="shared" si="229"/>
        <v>5.0000000000000001E-3</v>
      </c>
      <c r="I88" s="62">
        <f t="shared" si="230"/>
        <v>5.0000000000000001E-3</v>
      </c>
      <c r="J88" s="62">
        <f t="shared" si="231"/>
        <v>5.0000000000000001E-3</v>
      </c>
      <c r="K88" s="62">
        <f t="shared" si="232"/>
        <v>0.03</v>
      </c>
      <c r="L88" s="62">
        <f t="shared" si="233"/>
        <v>3.5000000000000003E-2</v>
      </c>
      <c r="M88" s="62">
        <f t="shared" si="234"/>
        <v>0.04</v>
      </c>
      <c r="N88" s="242"/>
      <c r="O88" s="231">
        <f>E89</f>
        <v>5.0000000000000001E-3</v>
      </c>
      <c r="P88" s="231">
        <f>O88</f>
        <v>5.0000000000000001E-3</v>
      </c>
      <c r="Q88" s="231">
        <v>5.0000000000000001E-3</v>
      </c>
      <c r="R88" s="186">
        <v>5.0000000000000001E-3</v>
      </c>
      <c r="S88" s="186">
        <v>5.0000000000000001E-3</v>
      </c>
      <c r="T88" s="34">
        <v>0.03</v>
      </c>
      <c r="U88" s="34">
        <v>3.5000000000000003E-2</v>
      </c>
      <c r="V88" s="34">
        <v>0.04</v>
      </c>
      <c r="W88" s="241"/>
      <c r="X88" s="62">
        <f t="shared" si="199"/>
        <v>5.0000000000000001E-3</v>
      </c>
      <c r="Y88" s="62">
        <f t="shared" si="200"/>
        <v>5.0000000000000001E-3</v>
      </c>
      <c r="Z88" s="62">
        <f t="shared" si="201"/>
        <v>5.0000000000000001E-3</v>
      </c>
      <c r="AA88" s="62">
        <f t="shared" si="202"/>
        <v>5.0000000000000001E-3</v>
      </c>
      <c r="AB88" s="62">
        <f t="shared" si="203"/>
        <v>5.0000000000000001E-3</v>
      </c>
      <c r="AC88" s="70">
        <v>0.03</v>
      </c>
      <c r="AD88" s="70">
        <v>0.05</v>
      </c>
      <c r="AE88" s="70">
        <v>0.1</v>
      </c>
      <c r="AF88" s="241"/>
      <c r="AG88" s="241"/>
      <c r="AH88" s="241"/>
      <c r="AI88" s="241"/>
      <c r="AJ88" s="241"/>
      <c r="AK88" s="241"/>
      <c r="AL88" s="241"/>
      <c r="AM88" s="241"/>
      <c r="AN88" s="241"/>
      <c r="AO88" s="241"/>
      <c r="AP88" s="241"/>
      <c r="AQ88" s="241"/>
      <c r="AR88" s="241"/>
      <c r="AS88" s="241"/>
      <c r="AT88" s="241"/>
      <c r="AU88" s="241"/>
    </row>
    <row r="89" spans="1:47">
      <c r="A89" s="185" t="s">
        <v>16</v>
      </c>
      <c r="C89" s="185" t="str">
        <f>C84</f>
        <v>Gautrain</v>
      </c>
      <c r="D89" s="185" t="s">
        <v>48</v>
      </c>
      <c r="E89" s="294">
        <v>5.0000000000000001E-3</v>
      </c>
      <c r="F89" s="62">
        <f t="shared" si="189"/>
        <v>5.0000000000000001E-3</v>
      </c>
      <c r="G89" s="62">
        <f t="shared" si="228"/>
        <v>5.0000000000000001E-3</v>
      </c>
      <c r="H89" s="62">
        <f t="shared" si="229"/>
        <v>5.0000000000000001E-3</v>
      </c>
      <c r="I89" s="62">
        <f t="shared" si="230"/>
        <v>5.0000000000000001E-3</v>
      </c>
      <c r="J89" s="62">
        <f t="shared" si="231"/>
        <v>5.0000000000000001E-3</v>
      </c>
      <c r="K89" s="62">
        <f t="shared" si="232"/>
        <v>5.0000000000000001E-3</v>
      </c>
      <c r="L89" s="62">
        <f t="shared" si="233"/>
        <v>5.0000000000000001E-3</v>
      </c>
      <c r="M89" s="62">
        <f t="shared" si="234"/>
        <v>5.0000000000000001E-3</v>
      </c>
      <c r="N89" s="242"/>
      <c r="O89" s="231">
        <f>E89</f>
        <v>5.0000000000000001E-3</v>
      </c>
      <c r="P89" s="231">
        <f>O89</f>
        <v>5.0000000000000001E-3</v>
      </c>
      <c r="Q89" s="231">
        <v>5.0000000000000001E-3</v>
      </c>
      <c r="R89" s="186">
        <v>5.0000000000000001E-3</v>
      </c>
      <c r="S89" s="186">
        <v>5.0000000000000001E-3</v>
      </c>
      <c r="T89" s="297">
        <v>5.0000000000000001E-3</v>
      </c>
      <c r="U89" s="297">
        <v>5.0000000000000001E-3</v>
      </c>
      <c r="V89" s="297">
        <v>5.0000000000000001E-3</v>
      </c>
      <c r="W89" s="241"/>
      <c r="X89" s="62">
        <f t="shared" si="199"/>
        <v>5.0000000000000001E-3</v>
      </c>
      <c r="Y89" s="62">
        <f t="shared" si="200"/>
        <v>5.0000000000000001E-3</v>
      </c>
      <c r="Z89" s="62">
        <f t="shared" si="201"/>
        <v>5.0000000000000001E-3</v>
      </c>
      <c r="AA89" s="62">
        <f t="shared" si="202"/>
        <v>5.0000000000000001E-3</v>
      </c>
      <c r="AB89" s="62">
        <f t="shared" si="203"/>
        <v>5.0000000000000001E-3</v>
      </c>
      <c r="AC89" s="72">
        <v>0.01</v>
      </c>
      <c r="AD89" s="72">
        <v>0.03</v>
      </c>
      <c r="AE89" s="72">
        <v>0.05</v>
      </c>
      <c r="AF89" s="241"/>
      <c r="AG89" s="241"/>
      <c r="AH89" s="241"/>
      <c r="AI89" s="241"/>
      <c r="AJ89" s="241"/>
      <c r="AK89" s="241"/>
      <c r="AL89" s="241"/>
      <c r="AM89" s="241"/>
      <c r="AN89" s="241"/>
      <c r="AO89" s="241"/>
      <c r="AP89" s="241"/>
      <c r="AQ89" s="241"/>
      <c r="AR89" s="241"/>
      <c r="AS89" s="241"/>
      <c r="AT89" s="241"/>
      <c r="AU89" s="241"/>
    </row>
    <row r="90" spans="1:47">
      <c r="A90" s="185" t="s">
        <v>16</v>
      </c>
      <c r="C90" s="185" t="str">
        <f>C85</f>
        <v>Bus, minibus, metro rail</v>
      </c>
      <c r="D90" s="185" t="s">
        <v>48</v>
      </c>
      <c r="E90" s="33">
        <f>1-SUM(E87:E89)</f>
        <v>0.1760692888046641</v>
      </c>
      <c r="F90" s="33">
        <f>1-SUM(F87:F89)</f>
        <v>0.1710692888046641</v>
      </c>
      <c r="G90" s="33">
        <f t="shared" ref="G90:M90" si="238">1-SUM(G87:G89)</f>
        <v>0.18744790302857084</v>
      </c>
      <c r="H90" s="33">
        <f t="shared" si="238"/>
        <v>0.18744790302857084</v>
      </c>
      <c r="I90" s="33">
        <f t="shared" si="238"/>
        <v>0.19703470282174496</v>
      </c>
      <c r="J90" s="33">
        <f t="shared" si="238"/>
        <v>0.18663743056853355</v>
      </c>
      <c r="K90" s="33">
        <f t="shared" si="238"/>
        <v>0.14695804807061619</v>
      </c>
      <c r="L90" s="33">
        <f t="shared" si="238"/>
        <v>9.3793249033585879E-2</v>
      </c>
      <c r="M90" s="33">
        <f t="shared" si="238"/>
        <v>3.0210745018650287E-2</v>
      </c>
      <c r="N90" s="242"/>
      <c r="O90" s="33">
        <f t="shared" ref="O90:V90" si="239">1-SUM(O87:O89)</f>
        <v>0.1710692888046641</v>
      </c>
      <c r="P90" s="33">
        <f t="shared" si="239"/>
        <v>0.18744790302857084</v>
      </c>
      <c r="Q90" s="33">
        <f t="shared" si="239"/>
        <v>0.18744790302857084</v>
      </c>
      <c r="R90" s="33">
        <f t="shared" si="239"/>
        <v>0.19703470282174496</v>
      </c>
      <c r="S90" s="33">
        <f t="shared" si="239"/>
        <v>0.18663743056853355</v>
      </c>
      <c r="T90" s="33">
        <f t="shared" si="239"/>
        <v>0.14695804807061619</v>
      </c>
      <c r="U90" s="33">
        <f t="shared" si="239"/>
        <v>9.3793249033585879E-2</v>
      </c>
      <c r="V90" s="33">
        <f t="shared" si="239"/>
        <v>3.0210745018650287E-2</v>
      </c>
      <c r="W90" s="241"/>
      <c r="X90" s="62">
        <f t="shared" si="199"/>
        <v>0.1710692888046641</v>
      </c>
      <c r="Y90" s="62">
        <f t="shared" si="200"/>
        <v>0.18744790302857084</v>
      </c>
      <c r="Z90" s="62">
        <f t="shared" si="201"/>
        <v>0.18744790302857084</v>
      </c>
      <c r="AA90" s="62">
        <f t="shared" si="202"/>
        <v>0.19703470282174496</v>
      </c>
      <c r="AB90" s="62">
        <f t="shared" si="203"/>
        <v>0.18663743056853355</v>
      </c>
      <c r="AC90" s="33">
        <f>1-SUM(AC87:AC89)</f>
        <v>0.20618736436992113</v>
      </c>
      <c r="AD90" s="33">
        <f>1-SUM(AD87:AD89)</f>
        <v>0.20340686325415624</v>
      </c>
      <c r="AE90" s="33">
        <f>1-SUM(AE87:AE89)</f>
        <v>0.16878864938098248</v>
      </c>
      <c r="AF90" s="241"/>
      <c r="AG90" s="241"/>
      <c r="AH90" s="241"/>
      <c r="AI90" s="241"/>
      <c r="AJ90" s="241"/>
      <c r="AK90" s="241"/>
      <c r="AL90" s="241"/>
      <c r="AM90" s="241"/>
      <c r="AN90" s="241"/>
      <c r="AO90" s="241"/>
      <c r="AP90" s="241"/>
      <c r="AQ90" s="241"/>
      <c r="AR90" s="241"/>
      <c r="AS90" s="241"/>
      <c r="AT90" s="241"/>
      <c r="AU90" s="241"/>
    </row>
    <row r="91" spans="1:47">
      <c r="A91" s="185" t="s">
        <v>16</v>
      </c>
      <c r="C91" s="228"/>
      <c r="E91" s="232"/>
      <c r="F91" s="232"/>
      <c r="G91" s="232"/>
      <c r="I91" s="232"/>
      <c r="K91" s="232"/>
      <c r="L91" s="232"/>
      <c r="M91" s="232"/>
      <c r="N91" s="40"/>
      <c r="R91" s="232"/>
      <c r="T91" s="232"/>
      <c r="U91" s="232"/>
      <c r="V91" s="232"/>
      <c r="AA91" s="232"/>
      <c r="AC91" s="232"/>
      <c r="AD91" s="232"/>
      <c r="AE91" s="232"/>
    </row>
    <row r="92" spans="1:47">
      <c r="A92" s="185" t="s">
        <v>16</v>
      </c>
      <c r="C92" s="69" t="s">
        <v>193</v>
      </c>
      <c r="E92" s="7"/>
      <c r="F92" s="7"/>
      <c r="G92" s="7"/>
      <c r="I92" s="7"/>
      <c r="K92" s="7"/>
      <c r="L92" s="7"/>
      <c r="M92" s="7"/>
      <c r="N92" s="40"/>
      <c r="R92" s="7"/>
      <c r="T92" s="7"/>
      <c r="U92" s="7"/>
      <c r="V92" s="7"/>
      <c r="AA92" s="7"/>
      <c r="AC92" s="7"/>
      <c r="AD92" s="7"/>
      <c r="AE92" s="7"/>
    </row>
    <row r="93" spans="1:47">
      <c r="A93" s="185" t="s">
        <v>16</v>
      </c>
      <c r="C93" s="38" t="str">
        <f>C75</f>
        <v>Low Income</v>
      </c>
      <c r="D93" s="185" t="s">
        <v>191</v>
      </c>
      <c r="E93" s="186">
        <f t="shared" ref="E93" si="240">(1-E$25)*E$13</f>
        <v>25.641102967779684</v>
      </c>
      <c r="F93" s="186">
        <f t="shared" ref="F93:F103" si="241">IF($D$4,X93,O93)</f>
        <v>25.833773353820327</v>
      </c>
      <c r="G93" s="186">
        <f t="shared" ref="G93:G95" si="242">IF($D$4,Y93,P93)</f>
        <v>26.047189433243531</v>
      </c>
      <c r="H93" s="186">
        <f t="shared" ref="H93:H95" si="243">IF($D$4,Z93,Q93)</f>
        <v>26.373080885327489</v>
      </c>
      <c r="I93" s="186">
        <f t="shared" ref="I93:I95" si="244">IF($D$4,AA93,R93)</f>
        <v>27.549357550486103</v>
      </c>
      <c r="J93" s="186">
        <f t="shared" ref="J93:J95" si="245">IF($D$4,AB93,S93)</f>
        <v>28.691722641945223</v>
      </c>
      <c r="K93" s="186">
        <f t="shared" ref="K93:K95" si="246">IF($D$4,AC93,T93)</f>
        <v>27.287687284309452</v>
      </c>
      <c r="L93" s="186">
        <f t="shared" ref="L93:L95" si="247">IF($D$4,AD93,U93)</f>
        <v>23.506471955392847</v>
      </c>
      <c r="M93" s="186">
        <f t="shared" ref="M93:M95" si="248">IF($D$4,AE93,V93)</f>
        <v>19.201449740781548</v>
      </c>
      <c r="N93" s="40"/>
      <c r="O93" s="186">
        <f>(1-O$25)*O$13</f>
        <v>25.833773353820327</v>
      </c>
      <c r="P93" s="186">
        <f>(1-P$25)*P$13</f>
        <v>26.047189433243531</v>
      </c>
      <c r="Q93" s="186">
        <f t="shared" ref="Q93:V93" si="249">(1-Q$25)*Q$13</f>
        <v>26.373080885327489</v>
      </c>
      <c r="R93" s="186">
        <f t="shared" si="249"/>
        <v>27.549357550486103</v>
      </c>
      <c r="S93" s="186">
        <f t="shared" si="249"/>
        <v>28.691722641945223</v>
      </c>
      <c r="T93" s="186">
        <f t="shared" si="249"/>
        <v>27.287687284309452</v>
      </c>
      <c r="U93" s="186">
        <f t="shared" si="249"/>
        <v>23.506471955392847</v>
      </c>
      <c r="V93" s="186">
        <f t="shared" si="249"/>
        <v>19.201449740781548</v>
      </c>
      <c r="X93" s="186">
        <f>O93</f>
        <v>25.833773353820327</v>
      </c>
      <c r="Y93" s="186">
        <f t="shared" ref="Y93:AB93" si="250">P93</f>
        <v>26.047189433243531</v>
      </c>
      <c r="Z93" s="186">
        <f t="shared" si="250"/>
        <v>26.373080885327489</v>
      </c>
      <c r="AA93" s="186">
        <f t="shared" si="250"/>
        <v>27.549357550486103</v>
      </c>
      <c r="AB93" s="186">
        <f t="shared" si="250"/>
        <v>28.691722641945223</v>
      </c>
      <c r="AC93" s="186">
        <f>(1-AC$25)*AC$13</f>
        <v>26.452349918463245</v>
      </c>
      <c r="AD93" s="186">
        <f>(1-AD$25)*AD$13</f>
        <v>23.02674803793585</v>
      </c>
      <c r="AE93" s="186">
        <f>(1-AE$25)*AE$13</f>
        <v>18.809583419541106</v>
      </c>
    </row>
    <row r="94" spans="1:47">
      <c r="A94" s="185" t="s">
        <v>16</v>
      </c>
      <c r="C94" s="185" t="s">
        <v>63</v>
      </c>
      <c r="D94" s="185" t="s">
        <v>48</v>
      </c>
      <c r="E94" s="294">
        <v>0</v>
      </c>
      <c r="F94" s="62">
        <f t="shared" si="241"/>
        <v>0</v>
      </c>
      <c r="G94" s="62">
        <f t="shared" si="242"/>
        <v>5.0000000000000001E-3</v>
      </c>
      <c r="H94" s="62">
        <f t="shared" si="243"/>
        <v>0.01</v>
      </c>
      <c r="I94" s="62">
        <f t="shared" si="244"/>
        <v>0.01</v>
      </c>
      <c r="J94" s="62">
        <f t="shared" si="245"/>
        <v>3.0000000000000002E-2</v>
      </c>
      <c r="K94" s="62">
        <f t="shared" si="246"/>
        <v>0.05</v>
      </c>
      <c r="L94" s="62">
        <f t="shared" si="247"/>
        <v>0.1</v>
      </c>
      <c r="M94" s="62">
        <f t="shared" si="248"/>
        <v>0.15</v>
      </c>
      <c r="N94" s="242"/>
      <c r="O94" s="231">
        <f>E94</f>
        <v>0</v>
      </c>
      <c r="P94" s="231">
        <v>5.0000000000000001E-3</v>
      </c>
      <c r="Q94" s="231">
        <v>0.01</v>
      </c>
      <c r="R94" s="231">
        <f>Q94</f>
        <v>0.01</v>
      </c>
      <c r="S94" s="231">
        <f>AVERAGE(R94,T94)</f>
        <v>3.0000000000000002E-2</v>
      </c>
      <c r="T94" s="34">
        <v>0.05</v>
      </c>
      <c r="U94" s="34">
        <v>0.1</v>
      </c>
      <c r="V94" s="34">
        <v>0.15</v>
      </c>
      <c r="W94" s="241"/>
      <c r="X94" s="186">
        <f t="shared" ref="X94:X103" si="251">O94</f>
        <v>0</v>
      </c>
      <c r="Y94" s="186">
        <f t="shared" ref="Y94:Y103" si="252">P94</f>
        <v>5.0000000000000001E-3</v>
      </c>
      <c r="Z94" s="186">
        <f t="shared" ref="Z94:Z103" si="253">Q94</f>
        <v>0.01</v>
      </c>
      <c r="AA94" s="186">
        <f t="shared" ref="AA94:AA103" si="254">R94</f>
        <v>0.01</v>
      </c>
      <c r="AB94" s="186">
        <f t="shared" ref="AB94:AB103" si="255">S94</f>
        <v>3.0000000000000002E-2</v>
      </c>
      <c r="AC94" s="70">
        <f>AC78</f>
        <v>7.0000000000000007E-2</v>
      </c>
      <c r="AD94" s="70">
        <v>0.2</v>
      </c>
      <c r="AE94" s="70">
        <v>0.4</v>
      </c>
      <c r="AF94" s="241"/>
      <c r="AG94" s="241"/>
      <c r="AH94" s="241"/>
      <c r="AI94" s="241"/>
      <c r="AJ94" s="241"/>
      <c r="AK94" s="241"/>
      <c r="AL94" s="241"/>
      <c r="AM94" s="241"/>
      <c r="AN94" s="241"/>
      <c r="AO94" s="241"/>
      <c r="AP94" s="241"/>
      <c r="AQ94" s="241"/>
      <c r="AR94" s="241"/>
      <c r="AS94" s="241"/>
      <c r="AT94" s="241"/>
      <c r="AU94" s="241"/>
    </row>
    <row r="95" spans="1:47">
      <c r="A95" s="185" t="s">
        <v>16</v>
      </c>
      <c r="C95" s="185" t="s">
        <v>82</v>
      </c>
      <c r="D95" s="185" t="s">
        <v>48</v>
      </c>
      <c r="E95" s="294">
        <v>0</v>
      </c>
      <c r="F95" s="62">
        <f t="shared" si="241"/>
        <v>0</v>
      </c>
      <c r="G95" s="62">
        <f t="shared" si="242"/>
        <v>0</v>
      </c>
      <c r="H95" s="62">
        <f t="shared" si="243"/>
        <v>0</v>
      </c>
      <c r="I95" s="62">
        <f t="shared" si="244"/>
        <v>0</v>
      </c>
      <c r="J95" s="62">
        <f t="shared" si="245"/>
        <v>0</v>
      </c>
      <c r="K95" s="62">
        <f t="shared" si="246"/>
        <v>0</v>
      </c>
      <c r="L95" s="62">
        <f t="shared" si="247"/>
        <v>0</v>
      </c>
      <c r="M95" s="62">
        <f t="shared" si="248"/>
        <v>0</v>
      </c>
      <c r="N95" s="242"/>
      <c r="O95" s="231">
        <f>E95</f>
        <v>0</v>
      </c>
      <c r="P95" s="231">
        <f>O95</f>
        <v>0</v>
      </c>
      <c r="Q95" s="231">
        <f>P95</f>
        <v>0</v>
      </c>
      <c r="R95" s="231">
        <f>Q95</f>
        <v>0</v>
      </c>
      <c r="S95" s="231">
        <f t="shared" ref="S95:V95" si="256">R95</f>
        <v>0</v>
      </c>
      <c r="T95" s="34">
        <f t="shared" si="256"/>
        <v>0</v>
      </c>
      <c r="U95" s="34">
        <f t="shared" si="256"/>
        <v>0</v>
      </c>
      <c r="V95" s="34">
        <f t="shared" si="256"/>
        <v>0</v>
      </c>
      <c r="W95" s="241"/>
      <c r="X95" s="186">
        <f t="shared" si="251"/>
        <v>0</v>
      </c>
      <c r="Y95" s="186">
        <f t="shared" si="252"/>
        <v>0</v>
      </c>
      <c r="Z95" s="186">
        <f t="shared" si="253"/>
        <v>0</v>
      </c>
      <c r="AA95" s="186">
        <f t="shared" si="254"/>
        <v>0</v>
      </c>
      <c r="AB95" s="186">
        <f t="shared" si="255"/>
        <v>0</v>
      </c>
      <c r="AC95" s="34">
        <v>0</v>
      </c>
      <c r="AD95" s="34">
        <v>0</v>
      </c>
      <c r="AE95" s="34">
        <v>0</v>
      </c>
      <c r="AF95" s="241"/>
      <c r="AG95" s="241"/>
      <c r="AH95" s="241"/>
      <c r="AI95" s="241"/>
      <c r="AJ95" s="241"/>
      <c r="AK95" s="241"/>
      <c r="AL95" s="241"/>
      <c r="AM95" s="241"/>
      <c r="AN95" s="241"/>
      <c r="AO95" s="241"/>
      <c r="AP95" s="241"/>
      <c r="AQ95" s="241"/>
      <c r="AR95" s="241"/>
      <c r="AS95" s="241"/>
      <c r="AT95" s="241"/>
      <c r="AU95" s="241"/>
    </row>
    <row r="96" spans="1:47">
      <c r="A96" s="185" t="s">
        <v>16</v>
      </c>
      <c r="C96" s="185" t="s">
        <v>81</v>
      </c>
      <c r="D96" s="185" t="s">
        <v>48</v>
      </c>
      <c r="E96" s="33">
        <f>1-SUM(E94:E95)</f>
        <v>1</v>
      </c>
      <c r="F96" s="33">
        <f>1-SUM(F94:F95)</f>
        <v>1</v>
      </c>
      <c r="G96" s="33">
        <f t="shared" ref="G96:M96" si="257">1-SUM(G94:G95)</f>
        <v>0.995</v>
      </c>
      <c r="H96" s="33">
        <f t="shared" si="257"/>
        <v>0.99</v>
      </c>
      <c r="I96" s="33">
        <f t="shared" si="257"/>
        <v>0.99</v>
      </c>
      <c r="J96" s="33">
        <f t="shared" si="257"/>
        <v>0.97</v>
      </c>
      <c r="K96" s="33">
        <f t="shared" si="257"/>
        <v>0.95</v>
      </c>
      <c r="L96" s="33">
        <f t="shared" si="257"/>
        <v>0.9</v>
      </c>
      <c r="M96" s="33">
        <f t="shared" si="257"/>
        <v>0.85</v>
      </c>
      <c r="N96" s="242"/>
      <c r="O96" s="33">
        <f>1-SUM(O94:O95)</f>
        <v>1</v>
      </c>
      <c r="P96" s="33">
        <f t="shared" ref="P96:V96" si="258">1-SUM(P94:P95)</f>
        <v>0.995</v>
      </c>
      <c r="Q96" s="33">
        <f t="shared" si="258"/>
        <v>0.99</v>
      </c>
      <c r="R96" s="33">
        <f t="shared" si="258"/>
        <v>0.99</v>
      </c>
      <c r="S96" s="33">
        <f t="shared" si="258"/>
        <v>0.97</v>
      </c>
      <c r="T96" s="33">
        <f t="shared" si="258"/>
        <v>0.95</v>
      </c>
      <c r="U96" s="33">
        <f t="shared" si="258"/>
        <v>0.9</v>
      </c>
      <c r="V96" s="33">
        <f t="shared" si="258"/>
        <v>0.85</v>
      </c>
      <c r="W96" s="241"/>
      <c r="X96" s="186">
        <f>O96</f>
        <v>1</v>
      </c>
      <c r="Y96" s="186">
        <f t="shared" si="252"/>
        <v>0.995</v>
      </c>
      <c r="Z96" s="186">
        <f t="shared" si="253"/>
        <v>0.99</v>
      </c>
      <c r="AA96" s="186">
        <f t="shared" si="254"/>
        <v>0.99</v>
      </c>
      <c r="AB96" s="186">
        <f t="shared" si="255"/>
        <v>0.97</v>
      </c>
      <c r="AC96" s="33">
        <f>1-SUM(AC94:AC95)</f>
        <v>0.92999999999999994</v>
      </c>
      <c r="AD96" s="33">
        <f>1-SUM(AD94:AD95)</f>
        <v>0.8</v>
      </c>
      <c r="AE96" s="33">
        <f>1-SUM(AE94:AE95)</f>
        <v>0.6</v>
      </c>
      <c r="AF96" s="241"/>
      <c r="AG96" s="241"/>
      <c r="AH96" s="241"/>
      <c r="AI96" s="241"/>
      <c r="AJ96" s="241"/>
      <c r="AK96" s="241"/>
      <c r="AL96" s="241"/>
      <c r="AM96" s="241"/>
      <c r="AN96" s="241"/>
      <c r="AO96" s="241"/>
      <c r="AP96" s="241"/>
      <c r="AQ96" s="241"/>
      <c r="AR96" s="241"/>
      <c r="AS96" s="241"/>
      <c r="AT96" s="241"/>
      <c r="AU96" s="241"/>
    </row>
    <row r="97" spans="1:47">
      <c r="A97" s="185" t="s">
        <v>16</v>
      </c>
      <c r="C97" s="38" t="str">
        <f>C81</f>
        <v>Middle Income</v>
      </c>
      <c r="D97" s="185" t="s">
        <v>191</v>
      </c>
      <c r="E97" s="186">
        <f t="shared" ref="E97" si="259">(1-E$26)*E$14</f>
        <v>7.3783582009325217</v>
      </c>
      <c r="F97" s="186">
        <f t="shared" si="241"/>
        <v>7.8020598647375818</v>
      </c>
      <c r="G97" s="186">
        <f t="shared" ref="G97:G99" si="260">IF($D$4,Y97,P97)</f>
        <v>8.1304429240814891</v>
      </c>
      <c r="H97" s="186">
        <f t="shared" ref="H97:H99" si="261">IF($D$4,Z97,Q97)</f>
        <v>8.5664012676263432</v>
      </c>
      <c r="I97" s="186">
        <f t="shared" ref="I97:I99" si="262">IF($D$4,AA97,R97)</f>
        <v>9.0246041238046164</v>
      </c>
      <c r="J97" s="186">
        <f t="shared" ref="J97:J99" si="263">IF($D$4,AB97,S97)</f>
        <v>8.6510077002792301</v>
      </c>
      <c r="K97" s="186">
        <f t="shared" ref="K97:K99" si="264">IF($D$4,AC97,T97)</f>
        <v>10.066127666092434</v>
      </c>
      <c r="L97" s="186">
        <f t="shared" ref="L97:L99" si="265">IF($D$4,AD97,U97)</f>
        <v>11.596844251894362</v>
      </c>
      <c r="M97" s="186">
        <f t="shared" ref="M97:M99" si="266">IF($D$4,AE97,V97)</f>
        <v>12.841566337737975</v>
      </c>
      <c r="N97" s="40"/>
      <c r="O97" s="186">
        <f>(1-O$26)*O$14</f>
        <v>7.8020598647375818</v>
      </c>
      <c r="P97" s="186">
        <f t="shared" ref="P97:V97" si="267">(1-P$26)*P$14</f>
        <v>8.1304429240814891</v>
      </c>
      <c r="Q97" s="186">
        <f t="shared" si="267"/>
        <v>8.5664012676263432</v>
      </c>
      <c r="R97" s="186">
        <f t="shared" si="267"/>
        <v>9.0246041238046164</v>
      </c>
      <c r="S97" s="186">
        <f t="shared" si="267"/>
        <v>8.6510077002792301</v>
      </c>
      <c r="T97" s="186">
        <f t="shared" si="267"/>
        <v>10.066127666092434</v>
      </c>
      <c r="U97" s="186">
        <f t="shared" si="267"/>
        <v>11.596844251894362</v>
      </c>
      <c r="V97" s="186">
        <f t="shared" si="267"/>
        <v>12.841566337737975</v>
      </c>
      <c r="X97" s="186">
        <f t="shared" si="251"/>
        <v>7.8020598647375818</v>
      </c>
      <c r="Y97" s="186">
        <f t="shared" si="252"/>
        <v>8.1304429240814891</v>
      </c>
      <c r="Z97" s="186">
        <f t="shared" si="253"/>
        <v>8.5664012676263432</v>
      </c>
      <c r="AA97" s="186">
        <f t="shared" si="254"/>
        <v>9.0246041238046164</v>
      </c>
      <c r="AB97" s="186">
        <f t="shared" si="255"/>
        <v>8.6510077002792301</v>
      </c>
      <c r="AC97" s="186">
        <f>(1-AC$26)*AC$14</f>
        <v>10.633685928116797</v>
      </c>
      <c r="AD97" s="186">
        <f>(1-AD$26)*AD$14</f>
        <v>12.871880266185091</v>
      </c>
      <c r="AE97" s="186">
        <f>(1-AE$26)*AE$14</f>
        <v>14.906906872690181</v>
      </c>
    </row>
    <row r="98" spans="1:47">
      <c r="A98" s="185" t="s">
        <v>16</v>
      </c>
      <c r="C98" s="185" t="str">
        <f>C94</f>
        <v>BRT</v>
      </c>
      <c r="D98" s="185" t="s">
        <v>48</v>
      </c>
      <c r="E98" s="294">
        <v>0</v>
      </c>
      <c r="F98" s="62">
        <f t="shared" si="241"/>
        <v>0</v>
      </c>
      <c r="G98" s="62">
        <f t="shared" si="260"/>
        <v>5.0000000000000001E-3</v>
      </c>
      <c r="H98" s="62">
        <f t="shared" si="261"/>
        <v>0.01</v>
      </c>
      <c r="I98" s="62">
        <f t="shared" si="262"/>
        <v>0.01</v>
      </c>
      <c r="J98" s="62">
        <f t="shared" si="263"/>
        <v>3.0000000000000002E-2</v>
      </c>
      <c r="K98" s="62">
        <f t="shared" si="264"/>
        <v>0.05</v>
      </c>
      <c r="L98" s="62">
        <f t="shared" si="265"/>
        <v>0.1</v>
      </c>
      <c r="M98" s="62">
        <f t="shared" si="266"/>
        <v>0.15</v>
      </c>
      <c r="N98" s="242"/>
      <c r="O98" s="231">
        <f>E98</f>
        <v>0</v>
      </c>
      <c r="P98" s="231">
        <v>5.0000000000000001E-3</v>
      </c>
      <c r="Q98" s="231">
        <v>0.01</v>
      </c>
      <c r="R98" s="231">
        <f>Q98</f>
        <v>0.01</v>
      </c>
      <c r="S98" s="231">
        <f>AVERAGE(R98,T98)</f>
        <v>3.0000000000000002E-2</v>
      </c>
      <c r="T98" s="34">
        <v>0.05</v>
      </c>
      <c r="U98" s="34">
        <v>0.1</v>
      </c>
      <c r="V98" s="34">
        <v>0.15</v>
      </c>
      <c r="W98" s="241"/>
      <c r="X98" s="186">
        <f t="shared" si="251"/>
        <v>0</v>
      </c>
      <c r="Y98" s="186">
        <f t="shared" si="252"/>
        <v>5.0000000000000001E-3</v>
      </c>
      <c r="Z98" s="186">
        <f t="shared" si="253"/>
        <v>0.01</v>
      </c>
      <c r="AA98" s="186">
        <f t="shared" si="254"/>
        <v>0.01</v>
      </c>
      <c r="AB98" s="186">
        <f t="shared" si="255"/>
        <v>3.0000000000000002E-2</v>
      </c>
      <c r="AC98" s="70">
        <f>AC83</f>
        <v>7.0000000000000007E-2</v>
      </c>
      <c r="AD98" s="70">
        <v>0.2</v>
      </c>
      <c r="AE98" s="70">
        <v>0.4</v>
      </c>
      <c r="AF98" s="241"/>
      <c r="AG98" s="241"/>
      <c r="AH98" s="241"/>
      <c r="AI98" s="241"/>
      <c r="AJ98" s="241"/>
      <c r="AK98" s="241"/>
      <c r="AL98" s="241"/>
      <c r="AM98" s="241"/>
      <c r="AN98" s="241"/>
      <c r="AO98" s="241"/>
      <c r="AP98" s="241"/>
      <c r="AQ98" s="241"/>
      <c r="AR98" s="241"/>
      <c r="AS98" s="241"/>
      <c r="AT98" s="241"/>
      <c r="AU98" s="241"/>
    </row>
    <row r="99" spans="1:47">
      <c r="A99" s="185" t="s">
        <v>16</v>
      </c>
      <c r="C99" s="185" t="str">
        <f>C95</f>
        <v>Gautrain</v>
      </c>
      <c r="D99" s="185" t="s">
        <v>48</v>
      </c>
      <c r="E99" s="294">
        <v>2E-3</v>
      </c>
      <c r="F99" s="62">
        <f t="shared" si="241"/>
        <v>2E-3</v>
      </c>
      <c r="G99" s="62">
        <f t="shared" si="260"/>
        <v>2E-3</v>
      </c>
      <c r="H99" s="62">
        <f t="shared" si="261"/>
        <v>2E-3</v>
      </c>
      <c r="I99" s="62">
        <f t="shared" si="262"/>
        <v>2E-3</v>
      </c>
      <c r="J99" s="62">
        <f t="shared" si="263"/>
        <v>2E-3</v>
      </c>
      <c r="K99" s="62">
        <f t="shared" si="264"/>
        <v>2E-3</v>
      </c>
      <c r="L99" s="62">
        <f t="shared" si="265"/>
        <v>2E-3</v>
      </c>
      <c r="M99" s="62">
        <f t="shared" si="266"/>
        <v>2E-3</v>
      </c>
      <c r="N99" s="242"/>
      <c r="O99" s="231">
        <f>E99</f>
        <v>2E-3</v>
      </c>
      <c r="P99" s="231">
        <f>O99</f>
        <v>2E-3</v>
      </c>
      <c r="Q99" s="231">
        <f>P99</f>
        <v>2E-3</v>
      </c>
      <c r="R99" s="231">
        <f>Q99</f>
        <v>2E-3</v>
      </c>
      <c r="S99" s="231">
        <f t="shared" ref="S99:V99" si="268">R99</f>
        <v>2E-3</v>
      </c>
      <c r="T99" s="48">
        <f t="shared" si="268"/>
        <v>2E-3</v>
      </c>
      <c r="U99" s="48">
        <f t="shared" si="268"/>
        <v>2E-3</v>
      </c>
      <c r="V99" s="48">
        <f t="shared" si="268"/>
        <v>2E-3</v>
      </c>
      <c r="W99" s="241"/>
      <c r="X99" s="186">
        <f t="shared" si="251"/>
        <v>2E-3</v>
      </c>
      <c r="Y99" s="186">
        <f t="shared" si="252"/>
        <v>2E-3</v>
      </c>
      <c r="Z99" s="186">
        <f t="shared" si="253"/>
        <v>2E-3</v>
      </c>
      <c r="AA99" s="186">
        <f t="shared" si="254"/>
        <v>2E-3</v>
      </c>
      <c r="AB99" s="186">
        <f t="shared" si="255"/>
        <v>2E-3</v>
      </c>
      <c r="AC99" s="70">
        <f>AC84</f>
        <v>0.01</v>
      </c>
      <c r="AD99" s="70">
        <f>AD84</f>
        <v>0.02</v>
      </c>
      <c r="AE99" s="70">
        <f>AE84</f>
        <v>0.03</v>
      </c>
      <c r="AF99" s="241"/>
      <c r="AG99" s="241"/>
      <c r="AH99" s="241"/>
      <c r="AI99" s="241"/>
      <c r="AJ99" s="241"/>
      <c r="AK99" s="241"/>
      <c r="AL99" s="241"/>
      <c r="AM99" s="241"/>
      <c r="AN99" s="241"/>
      <c r="AO99" s="241"/>
      <c r="AP99" s="241"/>
      <c r="AQ99" s="241"/>
      <c r="AR99" s="241"/>
      <c r="AS99" s="241"/>
      <c r="AT99" s="241"/>
      <c r="AU99" s="241"/>
    </row>
    <row r="100" spans="1:47">
      <c r="A100" s="185" t="s">
        <v>16</v>
      </c>
      <c r="C100" s="185" t="str">
        <f>C96</f>
        <v>Bus, minibus, metro rail</v>
      </c>
      <c r="D100" s="185" t="s">
        <v>48</v>
      </c>
      <c r="E100" s="33">
        <f t="shared" ref="E100" si="269">1-SUM(E98:E99)</f>
        <v>0.998</v>
      </c>
      <c r="F100" s="33">
        <f>1-SUM(F98:F99)</f>
        <v>0.998</v>
      </c>
      <c r="G100" s="33">
        <f t="shared" ref="G100:M100" si="270">1-SUM(G98:G99)</f>
        <v>0.99299999999999999</v>
      </c>
      <c r="H100" s="33">
        <f t="shared" si="270"/>
        <v>0.98799999999999999</v>
      </c>
      <c r="I100" s="33">
        <f t="shared" si="270"/>
        <v>0.98799999999999999</v>
      </c>
      <c r="J100" s="33">
        <f t="shared" si="270"/>
        <v>0.96799999999999997</v>
      </c>
      <c r="K100" s="33">
        <f t="shared" si="270"/>
        <v>0.94799999999999995</v>
      </c>
      <c r="L100" s="33">
        <f t="shared" si="270"/>
        <v>0.89800000000000002</v>
      </c>
      <c r="M100" s="33">
        <f t="shared" si="270"/>
        <v>0.84799999999999998</v>
      </c>
      <c r="N100" s="242"/>
      <c r="O100" s="33">
        <f>1-SUM(O98:O99)</f>
        <v>0.998</v>
      </c>
      <c r="P100" s="33">
        <f t="shared" ref="P100:V100" si="271">1-SUM(P98:P99)</f>
        <v>0.99299999999999999</v>
      </c>
      <c r="Q100" s="33">
        <f t="shared" si="271"/>
        <v>0.98799999999999999</v>
      </c>
      <c r="R100" s="33">
        <f t="shared" si="271"/>
        <v>0.98799999999999999</v>
      </c>
      <c r="S100" s="33">
        <f t="shared" si="271"/>
        <v>0.96799999999999997</v>
      </c>
      <c r="T100" s="33">
        <f t="shared" si="271"/>
        <v>0.94799999999999995</v>
      </c>
      <c r="U100" s="33">
        <f t="shared" si="271"/>
        <v>0.89800000000000002</v>
      </c>
      <c r="V100" s="33">
        <f t="shared" si="271"/>
        <v>0.84799999999999998</v>
      </c>
      <c r="W100" s="241"/>
      <c r="X100" s="186">
        <f t="shared" si="251"/>
        <v>0.998</v>
      </c>
      <c r="Y100" s="186">
        <f t="shared" si="252"/>
        <v>0.99299999999999999</v>
      </c>
      <c r="Z100" s="186">
        <f t="shared" si="253"/>
        <v>0.98799999999999999</v>
      </c>
      <c r="AA100" s="186">
        <f t="shared" si="254"/>
        <v>0.98799999999999999</v>
      </c>
      <c r="AB100" s="186">
        <f t="shared" si="255"/>
        <v>0.96799999999999997</v>
      </c>
      <c r="AC100" s="33">
        <f>1-SUM(AC98:AC99)</f>
        <v>0.92</v>
      </c>
      <c r="AD100" s="33">
        <f>1-SUM(AD98:AD99)</f>
        <v>0.78</v>
      </c>
      <c r="AE100" s="33">
        <f>1-SUM(AE98:AE99)</f>
        <v>0.56999999999999995</v>
      </c>
      <c r="AF100" s="241"/>
      <c r="AG100" s="241"/>
      <c r="AH100" s="241"/>
      <c r="AI100" s="241"/>
      <c r="AJ100" s="241"/>
      <c r="AK100" s="241"/>
      <c r="AL100" s="241"/>
      <c r="AM100" s="241"/>
      <c r="AN100" s="241"/>
      <c r="AO100" s="241"/>
      <c r="AP100" s="241"/>
      <c r="AQ100" s="241"/>
      <c r="AR100" s="241"/>
      <c r="AS100" s="241"/>
      <c r="AT100" s="241"/>
      <c r="AU100" s="241"/>
    </row>
    <row r="101" spans="1:47">
      <c r="A101" s="185" t="s">
        <v>16</v>
      </c>
      <c r="C101" s="38" t="str">
        <f>C86</f>
        <v>High Income</v>
      </c>
      <c r="D101" s="185" t="s">
        <v>191</v>
      </c>
      <c r="E101" s="186">
        <f t="shared" ref="E101" si="272">(1-E$27)*E$15</f>
        <v>2.4261474987291396</v>
      </c>
      <c r="F101" s="186">
        <f t="shared" si="241"/>
        <v>2.7338595146461104</v>
      </c>
      <c r="G101" s="186">
        <f t="shared" ref="G101:G103" si="273">IF($D$4,Y101,P101)</f>
        <v>2.9321265522027939</v>
      </c>
      <c r="H101" s="186">
        <f t="shared" ref="H101:H103" si="274">IF($D$4,Z101,Q101)</f>
        <v>3.0672670337593466</v>
      </c>
      <c r="I101" s="186">
        <f t="shared" ref="I101:I103" si="275">IF($D$4,AA101,R101)</f>
        <v>2.7817323030730217</v>
      </c>
      <c r="J101" s="186">
        <f t="shared" ref="J101:J103" si="276">IF($D$4,AB101,S101)</f>
        <v>2.8541052505037907</v>
      </c>
      <c r="K101" s="186">
        <f t="shared" ref="K101:K103" si="277">IF($D$4,AC101,T101)</f>
        <v>3.8712538494467914</v>
      </c>
      <c r="L101" s="186">
        <f t="shared" ref="L101:L103" si="278">IF($D$4,AD101,U101)</f>
        <v>5.2674181608678596</v>
      </c>
      <c r="M101" s="186">
        <f t="shared" ref="M101:M103" si="279">IF($D$4,AE101,V101)</f>
        <v>6.63259771730295</v>
      </c>
      <c r="N101" s="40"/>
      <c r="O101" s="186">
        <f>(1-O$27)*O$15</f>
        <v>2.7338595146461104</v>
      </c>
      <c r="P101" s="186">
        <f t="shared" ref="P101:V101" si="280">(1-P$27)*P$15</f>
        <v>2.9321265522027939</v>
      </c>
      <c r="Q101" s="186">
        <f t="shared" si="280"/>
        <v>3.0672670337593466</v>
      </c>
      <c r="R101" s="186">
        <f t="shared" si="280"/>
        <v>2.7817323030730217</v>
      </c>
      <c r="S101" s="186">
        <f t="shared" si="280"/>
        <v>2.8541052505037907</v>
      </c>
      <c r="T101" s="186">
        <f t="shared" si="280"/>
        <v>3.8712538494467914</v>
      </c>
      <c r="U101" s="186">
        <f t="shared" si="280"/>
        <v>5.2674181608678596</v>
      </c>
      <c r="V101" s="186">
        <f t="shared" si="280"/>
        <v>6.63259771730295</v>
      </c>
      <c r="X101" s="186">
        <f t="shared" si="251"/>
        <v>2.7338595146461104</v>
      </c>
      <c r="Y101" s="186">
        <f t="shared" si="252"/>
        <v>2.9321265522027939</v>
      </c>
      <c r="Z101" s="186">
        <f t="shared" si="253"/>
        <v>3.0672670337593466</v>
      </c>
      <c r="AA101" s="186">
        <f t="shared" si="254"/>
        <v>2.7817323030730217</v>
      </c>
      <c r="AB101" s="186">
        <f t="shared" si="255"/>
        <v>2.8541052505037907</v>
      </c>
      <c r="AC101" s="186">
        <f>(1-AC$27)*AC$15</f>
        <v>4.1918279590076244</v>
      </c>
      <c r="AD101" s="186">
        <f>(1-AD$27)*AD$15</f>
        <v>6.1288912018364874</v>
      </c>
      <c r="AE101" s="186">
        <f>(1-AE$27)*AE$15</f>
        <v>8.2394616766845701</v>
      </c>
    </row>
    <row r="102" spans="1:47">
      <c r="A102" s="185" t="s">
        <v>16</v>
      </c>
      <c r="C102" s="185" t="str">
        <f>C98</f>
        <v>BRT</v>
      </c>
      <c r="D102" s="185" t="s">
        <v>48</v>
      </c>
      <c r="E102" s="294">
        <v>0.01</v>
      </c>
      <c r="F102" s="62">
        <f t="shared" si="241"/>
        <v>0.01</v>
      </c>
      <c r="G102" s="62">
        <f t="shared" si="273"/>
        <v>5.0000000000000001E-3</v>
      </c>
      <c r="H102" s="62">
        <f t="shared" si="274"/>
        <v>0.01</v>
      </c>
      <c r="I102" s="62">
        <f t="shared" si="275"/>
        <v>0.01</v>
      </c>
      <c r="J102" s="62">
        <f t="shared" si="276"/>
        <v>0.02</v>
      </c>
      <c r="K102" s="62">
        <f t="shared" si="277"/>
        <v>0.03</v>
      </c>
      <c r="L102" s="62">
        <f t="shared" si="278"/>
        <v>0.03</v>
      </c>
      <c r="M102" s="62">
        <f t="shared" si="279"/>
        <v>0.03</v>
      </c>
      <c r="N102" s="242"/>
      <c r="O102" s="231">
        <f>E102</f>
        <v>0.01</v>
      </c>
      <c r="P102" s="231">
        <v>5.0000000000000001E-3</v>
      </c>
      <c r="Q102" s="231">
        <v>0.01</v>
      </c>
      <c r="R102" s="231">
        <f>Q102</f>
        <v>0.01</v>
      </c>
      <c r="S102" s="231">
        <f>AVERAGE(R102,T102)</f>
        <v>0.02</v>
      </c>
      <c r="T102" s="34">
        <v>0.03</v>
      </c>
      <c r="U102" s="34">
        <v>0.03</v>
      </c>
      <c r="V102" s="34">
        <v>0.03</v>
      </c>
      <c r="W102" s="241"/>
      <c r="X102" s="186">
        <f t="shared" si="251"/>
        <v>0.01</v>
      </c>
      <c r="Y102" s="186">
        <f t="shared" si="252"/>
        <v>5.0000000000000001E-3</v>
      </c>
      <c r="Z102" s="186">
        <f t="shared" si="253"/>
        <v>0.01</v>
      </c>
      <c r="AA102" s="186">
        <f t="shared" si="254"/>
        <v>0.01</v>
      </c>
      <c r="AB102" s="186">
        <f t="shared" si="255"/>
        <v>0.02</v>
      </c>
      <c r="AC102" s="70">
        <v>7.0000000000000007E-2</v>
      </c>
      <c r="AD102" s="70">
        <v>0.2</v>
      </c>
      <c r="AE102" s="70">
        <v>0.4</v>
      </c>
      <c r="AF102" s="241"/>
      <c r="AG102" s="241"/>
      <c r="AH102" s="241"/>
      <c r="AI102" s="241"/>
      <c r="AJ102" s="241"/>
      <c r="AK102" s="241"/>
      <c r="AL102" s="241"/>
      <c r="AM102" s="241"/>
      <c r="AN102" s="241"/>
      <c r="AO102" s="241"/>
      <c r="AP102" s="241"/>
      <c r="AQ102" s="241"/>
      <c r="AR102" s="241"/>
      <c r="AS102" s="241"/>
      <c r="AT102" s="241"/>
      <c r="AU102" s="241"/>
    </row>
    <row r="103" spans="1:47">
      <c r="A103" s="185" t="s">
        <v>16</v>
      </c>
      <c r="C103" s="185" t="str">
        <f>C99</f>
        <v>Gautrain</v>
      </c>
      <c r="D103" s="185" t="s">
        <v>48</v>
      </c>
      <c r="E103" s="294">
        <v>5.0000000000000001E-3</v>
      </c>
      <c r="F103" s="136">
        <f t="shared" si="241"/>
        <v>5.0000000000000001E-3</v>
      </c>
      <c r="G103" s="136">
        <f t="shared" si="273"/>
        <v>5.0000000000000001E-3</v>
      </c>
      <c r="H103" s="136">
        <f t="shared" si="274"/>
        <v>5.0000000000000001E-3</v>
      </c>
      <c r="I103" s="136">
        <f t="shared" si="275"/>
        <v>5.0000000000000001E-3</v>
      </c>
      <c r="J103" s="136">
        <f t="shared" si="276"/>
        <v>5.0000000000000001E-3</v>
      </c>
      <c r="K103" s="136">
        <f t="shared" si="277"/>
        <v>5.0000000000000001E-3</v>
      </c>
      <c r="L103" s="136">
        <f t="shared" si="278"/>
        <v>5.0000000000000001E-3</v>
      </c>
      <c r="M103" s="136">
        <f t="shared" si="279"/>
        <v>5.0000000000000001E-3</v>
      </c>
      <c r="N103" s="242"/>
      <c r="O103" s="231">
        <f>E103</f>
        <v>5.0000000000000001E-3</v>
      </c>
      <c r="P103" s="231">
        <f>O103</f>
        <v>5.0000000000000001E-3</v>
      </c>
      <c r="Q103" s="231">
        <f>P103</f>
        <v>5.0000000000000001E-3</v>
      </c>
      <c r="R103" s="231">
        <v>5.0000000000000001E-3</v>
      </c>
      <c r="S103" s="231">
        <f>AVERAGE(R103,T103)</f>
        <v>5.0000000000000001E-3</v>
      </c>
      <c r="T103" s="48">
        <f>R103</f>
        <v>5.0000000000000001E-3</v>
      </c>
      <c r="U103" s="48">
        <f>T103</f>
        <v>5.0000000000000001E-3</v>
      </c>
      <c r="V103" s="48">
        <f>U103</f>
        <v>5.0000000000000001E-3</v>
      </c>
      <c r="W103" s="241"/>
      <c r="X103" s="186">
        <f t="shared" si="251"/>
        <v>5.0000000000000001E-3</v>
      </c>
      <c r="Y103" s="186">
        <f t="shared" si="252"/>
        <v>5.0000000000000001E-3</v>
      </c>
      <c r="Z103" s="186">
        <f t="shared" si="253"/>
        <v>5.0000000000000001E-3</v>
      </c>
      <c r="AA103" s="186">
        <f t="shared" si="254"/>
        <v>5.0000000000000001E-3</v>
      </c>
      <c r="AB103" s="186">
        <f t="shared" si="255"/>
        <v>5.0000000000000001E-3</v>
      </c>
      <c r="AC103" s="70">
        <f>AC89</f>
        <v>0.01</v>
      </c>
      <c r="AD103" s="70">
        <f>AD89</f>
        <v>0.03</v>
      </c>
      <c r="AE103" s="70">
        <f>AE89</f>
        <v>0.05</v>
      </c>
      <c r="AF103" s="241"/>
      <c r="AG103" s="241"/>
      <c r="AH103" s="241"/>
      <c r="AI103" s="241"/>
      <c r="AJ103" s="241"/>
      <c r="AK103" s="241"/>
      <c r="AL103" s="241"/>
      <c r="AM103" s="241"/>
      <c r="AN103" s="241"/>
      <c r="AO103" s="241"/>
      <c r="AP103" s="241"/>
      <c r="AQ103" s="241"/>
      <c r="AR103" s="241"/>
      <c r="AS103" s="241"/>
      <c r="AT103" s="241"/>
      <c r="AU103" s="241"/>
    </row>
    <row r="104" spans="1:47">
      <c r="A104" s="185" t="s">
        <v>16</v>
      </c>
      <c r="C104" s="185" t="str">
        <f>C100</f>
        <v>Bus, minibus, metro rail</v>
      </c>
      <c r="D104" s="185" t="s">
        <v>48</v>
      </c>
      <c r="E104" s="33">
        <f t="shared" ref="E104" si="281">1-SUM(E102:E103)</f>
        <v>0.98499999999999999</v>
      </c>
      <c r="F104" s="33">
        <f>1-SUM(F102:F103)</f>
        <v>0.98499999999999999</v>
      </c>
      <c r="G104" s="33">
        <f t="shared" ref="G104:M104" si="282">1-SUM(G102:G103)</f>
        <v>0.99</v>
      </c>
      <c r="H104" s="33">
        <f t="shared" si="282"/>
        <v>0.98499999999999999</v>
      </c>
      <c r="I104" s="33">
        <f t="shared" si="282"/>
        <v>0.98499999999999999</v>
      </c>
      <c r="J104" s="33">
        <f t="shared" si="282"/>
        <v>0.97499999999999998</v>
      </c>
      <c r="K104" s="33">
        <f t="shared" si="282"/>
        <v>0.96499999999999997</v>
      </c>
      <c r="L104" s="33">
        <f t="shared" si="282"/>
        <v>0.96499999999999997</v>
      </c>
      <c r="M104" s="33">
        <f t="shared" si="282"/>
        <v>0.96499999999999997</v>
      </c>
      <c r="N104" s="242"/>
      <c r="O104" s="33">
        <f>1-SUM(O102:O103)</f>
        <v>0.98499999999999999</v>
      </c>
      <c r="P104" s="33">
        <f t="shared" ref="P104:V104" si="283">1-SUM(P102:P103)</f>
        <v>0.99</v>
      </c>
      <c r="Q104" s="33">
        <f t="shared" si="283"/>
        <v>0.98499999999999999</v>
      </c>
      <c r="R104" s="33">
        <f t="shared" si="283"/>
        <v>0.98499999999999999</v>
      </c>
      <c r="S104" s="33">
        <f t="shared" si="283"/>
        <v>0.97499999999999998</v>
      </c>
      <c r="T104" s="33">
        <f t="shared" si="283"/>
        <v>0.96499999999999997</v>
      </c>
      <c r="U104" s="33">
        <f t="shared" si="283"/>
        <v>0.96499999999999997</v>
      </c>
      <c r="V104" s="33">
        <f t="shared" si="283"/>
        <v>0.96499999999999997</v>
      </c>
      <c r="W104" s="241"/>
      <c r="X104" s="33">
        <f>1-SUM(X102:X103)</f>
        <v>0.98499999999999999</v>
      </c>
      <c r="Y104" s="33">
        <f t="shared" ref="Y104:AB104" si="284">1-SUM(Y102:Y103)</f>
        <v>0.99</v>
      </c>
      <c r="Z104" s="33">
        <f t="shared" si="284"/>
        <v>0.98499999999999999</v>
      </c>
      <c r="AA104" s="33">
        <f t="shared" si="284"/>
        <v>0.98499999999999999</v>
      </c>
      <c r="AB104" s="33">
        <f t="shared" si="284"/>
        <v>0.97499999999999998</v>
      </c>
      <c r="AC104" s="33">
        <f>1-SUM(AC102:AC103)</f>
        <v>0.92</v>
      </c>
      <c r="AD104" s="33">
        <f>1-SUM(AD102:AD103)</f>
        <v>0.77</v>
      </c>
      <c r="AE104" s="33">
        <f>1-SUM(AE102:AE103)</f>
        <v>0.55000000000000004</v>
      </c>
      <c r="AF104" s="241"/>
      <c r="AG104" s="241"/>
      <c r="AH104" s="241"/>
      <c r="AI104" s="241"/>
      <c r="AJ104" s="241"/>
      <c r="AK104" s="241"/>
      <c r="AL104" s="241"/>
      <c r="AM104" s="241"/>
      <c r="AN104" s="241"/>
      <c r="AO104" s="241"/>
      <c r="AP104" s="241"/>
      <c r="AQ104" s="241"/>
      <c r="AR104" s="241"/>
      <c r="AS104" s="241"/>
      <c r="AT104" s="241"/>
      <c r="AU104" s="241"/>
    </row>
    <row r="105" spans="1:47">
      <c r="A105" s="185" t="s">
        <v>16</v>
      </c>
      <c r="C105" s="228"/>
      <c r="E105" s="232"/>
      <c r="F105" s="232"/>
      <c r="G105" s="232"/>
      <c r="I105" s="232"/>
      <c r="K105" s="232"/>
      <c r="L105" s="232"/>
      <c r="M105" s="232"/>
      <c r="N105" s="40"/>
    </row>
    <row r="106" spans="1:47" ht="15.75" thickBot="1">
      <c r="A106" s="185" t="s">
        <v>16</v>
      </c>
      <c r="C106" s="227" t="s">
        <v>194</v>
      </c>
      <c r="F106" s="232"/>
      <c r="G106" s="232"/>
      <c r="I106" s="232"/>
      <c r="K106" s="232"/>
      <c r="L106" s="232"/>
      <c r="M106" s="232"/>
      <c r="N106" s="40"/>
    </row>
    <row r="107" spans="1:47">
      <c r="A107" s="185" t="s">
        <v>16</v>
      </c>
      <c r="C107" s="228" t="str">
        <f>C54</f>
        <v>Low Income</v>
      </c>
      <c r="D107" s="185" t="s">
        <v>173</v>
      </c>
      <c r="E107" s="186">
        <f t="shared" ref="E107" si="285">E25*E13*E30*E41</f>
        <v>1.0501617206129796</v>
      </c>
      <c r="F107" s="186">
        <f t="shared" ref="F107:F108" si="286">IF($D$4,X107,O107)</f>
        <v>1.0580527643161255</v>
      </c>
      <c r="G107" s="186">
        <f t="shared" ref="G107:G108" si="287">IF($D$4,Y107,P107)</f>
        <v>1.0667934724461612</v>
      </c>
      <c r="H107" s="186">
        <f t="shared" ref="H107:H108" si="288">IF($D$4,Z107,Q107)</f>
        <v>1.0801407425883076</v>
      </c>
      <c r="I107" s="186">
        <f t="shared" ref="I107:I108" si="289">IF($D$4,AA107,R107)</f>
        <v>1.1283165456398421</v>
      </c>
      <c r="J107" s="186">
        <f t="shared" ref="J107:J108" si="290">IF($D$4,AB107,S107)</f>
        <v>1.175103460053095</v>
      </c>
      <c r="K107" s="186">
        <f t="shared" ref="K107:K108" si="291">IF($D$4,AC107,T107)</f>
        <v>1.117599530178119</v>
      </c>
      <c r="L107" s="186">
        <f t="shared" ref="L107:L108" si="292">IF($D$4,AD107,U107)</f>
        <v>0.96273538097154976</v>
      </c>
      <c r="M107" s="186">
        <f t="shared" ref="M107:M108" si="293">IF($D$4,AE107,V107)</f>
        <v>0.7864181007884663</v>
      </c>
      <c r="N107" s="40"/>
      <c r="O107" s="186">
        <f t="shared" ref="O107:V109" si="294">O25*O13*O30*O41</f>
        <v>1.0580527643161255</v>
      </c>
      <c r="P107" s="186">
        <f t="shared" si="294"/>
        <v>1.0667934724461612</v>
      </c>
      <c r="Q107" s="186">
        <f t="shared" si="294"/>
        <v>1.0801407425883076</v>
      </c>
      <c r="R107" s="186">
        <f t="shared" si="294"/>
        <v>1.1283165456398421</v>
      </c>
      <c r="S107" s="186">
        <f t="shared" si="294"/>
        <v>1.175103460053095</v>
      </c>
      <c r="T107" s="305">
        <f t="shared" si="294"/>
        <v>1.117599530178119</v>
      </c>
      <c r="U107" s="305">
        <f t="shared" si="294"/>
        <v>0.96273538097154976</v>
      </c>
      <c r="V107" s="305">
        <f t="shared" si="294"/>
        <v>0.7864181007884663</v>
      </c>
      <c r="X107" s="186">
        <f>O107</f>
        <v>1.0580527643161255</v>
      </c>
      <c r="Y107" s="186">
        <f t="shared" ref="Y107:AB107" si="295">P107</f>
        <v>1.0667934724461612</v>
      </c>
      <c r="Z107" s="186">
        <f t="shared" si="295"/>
        <v>1.0801407425883076</v>
      </c>
      <c r="AA107" s="186">
        <f t="shared" si="295"/>
        <v>1.1283165456398421</v>
      </c>
      <c r="AB107" s="186">
        <f t="shared" si="295"/>
        <v>1.175103460053095</v>
      </c>
      <c r="AC107" s="305">
        <f t="shared" ref="AC107:AE109" si="296">AC25*AC13*AC30*AC41</f>
        <v>2.5215839399643807</v>
      </c>
      <c r="AD107" s="305">
        <f t="shared" si="296"/>
        <v>1.5683079697949165</v>
      </c>
      <c r="AE107" s="305">
        <f t="shared" si="296"/>
        <v>1.1561791370606305</v>
      </c>
    </row>
    <row r="108" spans="1:47">
      <c r="A108" s="185" t="s">
        <v>16</v>
      </c>
      <c r="C108" s="228" t="str">
        <f>C55</f>
        <v>Middle Income</v>
      </c>
      <c r="D108" s="185" t="s">
        <v>173</v>
      </c>
      <c r="E108" s="186">
        <f>E26*E14*E31*E42</f>
        <v>34.956962298937931</v>
      </c>
      <c r="F108" s="186">
        <f t="shared" si="286"/>
        <v>36.964363225306464</v>
      </c>
      <c r="G108" s="186">
        <f t="shared" si="287"/>
        <v>38.520166550718891</v>
      </c>
      <c r="H108" s="186">
        <f t="shared" si="288"/>
        <v>40.585636803610491</v>
      </c>
      <c r="I108" s="186">
        <f t="shared" si="289"/>
        <v>42.756496435590023</v>
      </c>
      <c r="J108" s="186">
        <f t="shared" si="290"/>
        <v>40.986482601002223</v>
      </c>
      <c r="K108" s="186">
        <f t="shared" si="291"/>
        <v>47.690995169550938</v>
      </c>
      <c r="L108" s="186">
        <f t="shared" si="292"/>
        <v>54.943177907639495</v>
      </c>
      <c r="M108" s="186">
        <f t="shared" si="293"/>
        <v>60.840384554775611</v>
      </c>
      <c r="N108" s="40"/>
      <c r="O108" s="186">
        <f t="shared" si="294"/>
        <v>36.964363225306464</v>
      </c>
      <c r="P108" s="186">
        <f t="shared" si="294"/>
        <v>38.520166550718891</v>
      </c>
      <c r="Q108" s="186">
        <f t="shared" si="294"/>
        <v>40.585636803610491</v>
      </c>
      <c r="R108" s="186">
        <f t="shared" si="294"/>
        <v>42.756496435590023</v>
      </c>
      <c r="S108" s="186">
        <f t="shared" si="294"/>
        <v>40.986482601002223</v>
      </c>
      <c r="T108" s="305">
        <f t="shared" si="294"/>
        <v>47.690995169550938</v>
      </c>
      <c r="U108" s="305">
        <f t="shared" si="294"/>
        <v>54.943177907639495</v>
      </c>
      <c r="V108" s="305">
        <f t="shared" si="294"/>
        <v>60.840384554775611</v>
      </c>
      <c r="X108" s="186">
        <f t="shared" ref="X108:X111" si="297">O108</f>
        <v>36.964363225306464</v>
      </c>
      <c r="Y108" s="186">
        <f t="shared" ref="Y108:Y111" si="298">P108</f>
        <v>38.520166550718891</v>
      </c>
      <c r="Z108" s="186">
        <f t="shared" ref="Z108:Z111" si="299">Q108</f>
        <v>40.585636803610491</v>
      </c>
      <c r="AA108" s="186">
        <f t="shared" ref="AA108:AA111" si="300">R108</f>
        <v>42.756496435590023</v>
      </c>
      <c r="AB108" s="186">
        <f t="shared" ref="AB108:AB111" si="301">S108</f>
        <v>40.986482601002223</v>
      </c>
      <c r="AC108" s="305">
        <f t="shared" si="296"/>
        <v>40.88906698349372</v>
      </c>
      <c r="AD108" s="305">
        <f t="shared" si="296"/>
        <v>42.513983710602552</v>
      </c>
      <c r="AE108" s="305">
        <f t="shared" si="296"/>
        <v>40.362754161121629</v>
      </c>
    </row>
    <row r="109" spans="1:47">
      <c r="A109" s="185" t="s">
        <v>16</v>
      </c>
      <c r="C109" s="228" t="str">
        <f>C56</f>
        <v>High Income</v>
      </c>
      <c r="D109" s="185" t="s">
        <v>173</v>
      </c>
      <c r="E109" s="186">
        <f>E27*E15*E32*E43</f>
        <v>51.967503693160623</v>
      </c>
      <c r="F109" s="186">
        <f t="shared" ref="F109:F111" si="302">IF($D$4,X109,O109)</f>
        <v>58.558622053429929</v>
      </c>
      <c r="G109" s="186">
        <f t="shared" ref="G109:G111" si="303">IF($D$4,Y109,P109)</f>
        <v>61.54934584975787</v>
      </c>
      <c r="H109" s="186">
        <f t="shared" ref="H109:H111" si="304">IF($D$4,Z109,Q109)</f>
        <v>64.386129354677948</v>
      </c>
      <c r="I109" s="186">
        <f t="shared" ref="I109:I111" si="305">IF($D$4,AA109,R109)</f>
        <v>57.694845187509266</v>
      </c>
      <c r="J109" s="186">
        <f t="shared" ref="J109:J111" si="306">IF($D$4,AB109,S109)</f>
        <v>59.972074874912202</v>
      </c>
      <c r="K109" s="186">
        <f t="shared" ref="K109:K111" si="307">IF($D$4,AC109,T109)</f>
        <v>82.831346926360538</v>
      </c>
      <c r="L109" s="186">
        <f t="shared" ref="L109:L111" si="308">IF($D$4,AD109,U109)</f>
        <v>119.34022653889232</v>
      </c>
      <c r="M109" s="186">
        <f t="shared" ref="M109:M111" si="309">IF($D$4,AE109,V109)</f>
        <v>160.43308295486472</v>
      </c>
      <c r="N109" s="40"/>
      <c r="O109" s="186">
        <f t="shared" si="294"/>
        <v>58.558622053429929</v>
      </c>
      <c r="P109" s="186">
        <f t="shared" si="294"/>
        <v>61.54934584975787</v>
      </c>
      <c r="Q109" s="186">
        <f t="shared" si="294"/>
        <v>64.386129354677948</v>
      </c>
      <c r="R109" s="186">
        <f t="shared" si="294"/>
        <v>57.694845187509266</v>
      </c>
      <c r="S109" s="186">
        <f t="shared" si="294"/>
        <v>59.972074874912202</v>
      </c>
      <c r="T109" s="305">
        <f t="shared" si="294"/>
        <v>82.831346926360538</v>
      </c>
      <c r="U109" s="305">
        <f t="shared" si="294"/>
        <v>119.34022653889232</v>
      </c>
      <c r="V109" s="305">
        <f t="shared" si="294"/>
        <v>160.43308295486472</v>
      </c>
      <c r="X109" s="186">
        <f t="shared" si="297"/>
        <v>58.558622053429929</v>
      </c>
      <c r="Y109" s="186">
        <f t="shared" si="298"/>
        <v>61.54934584975787</v>
      </c>
      <c r="Z109" s="186">
        <f t="shared" si="299"/>
        <v>64.386129354677948</v>
      </c>
      <c r="AA109" s="186">
        <f t="shared" si="300"/>
        <v>57.694845187509266</v>
      </c>
      <c r="AB109" s="186">
        <f t="shared" si="301"/>
        <v>59.972074874912202</v>
      </c>
      <c r="AC109" s="305">
        <f t="shared" si="296"/>
        <v>74.419573344963055</v>
      </c>
      <c r="AD109" s="305">
        <f t="shared" si="296"/>
        <v>93.8527860848899</v>
      </c>
      <c r="AE109" s="305">
        <f t="shared" si="296"/>
        <v>109.53347773591041</v>
      </c>
    </row>
    <row r="110" spans="1:47">
      <c r="A110" s="185" t="s">
        <v>16</v>
      </c>
      <c r="C110" s="228" t="str">
        <f>C57</f>
        <v>Other (gov/company/car rental)</v>
      </c>
      <c r="D110" s="185" t="s">
        <v>173</v>
      </c>
      <c r="E110" s="186">
        <f t="shared" ref="E110" si="310">E50</f>
        <v>6.055780527292475</v>
      </c>
      <c r="F110" s="186">
        <f t="shared" si="302"/>
        <v>6.2383982101543394</v>
      </c>
      <c r="G110" s="186">
        <f t="shared" si="303"/>
        <v>6.3033094012977324</v>
      </c>
      <c r="H110" s="186">
        <f t="shared" si="304"/>
        <v>6.3463566012726167</v>
      </c>
      <c r="I110" s="186">
        <f t="shared" si="305"/>
        <v>6.1134257010113879</v>
      </c>
      <c r="J110" s="186">
        <f t="shared" si="306"/>
        <v>6.1773375816217291</v>
      </c>
      <c r="K110" s="186">
        <f t="shared" si="307"/>
        <v>6.8015940759447817</v>
      </c>
      <c r="L110" s="186">
        <f t="shared" si="308"/>
        <v>7.8988387961489268</v>
      </c>
      <c r="M110" s="186">
        <f t="shared" si="309"/>
        <v>9.3898167914105919</v>
      </c>
      <c r="N110" s="42"/>
      <c r="O110" s="186">
        <f>O50</f>
        <v>6.2383982101543394</v>
      </c>
      <c r="P110" s="186">
        <f t="shared" ref="P110:V110" si="311">P50</f>
        <v>6.3033094012977324</v>
      </c>
      <c r="Q110" s="186">
        <f t="shared" si="311"/>
        <v>6.3463566012726167</v>
      </c>
      <c r="R110" s="186">
        <f t="shared" si="311"/>
        <v>6.1134257010113879</v>
      </c>
      <c r="S110" s="186">
        <f t="shared" si="311"/>
        <v>6.1773375816217291</v>
      </c>
      <c r="T110" s="305">
        <f t="shared" si="311"/>
        <v>6.8015940759447817</v>
      </c>
      <c r="U110" s="305">
        <f t="shared" si="311"/>
        <v>7.8988387961489268</v>
      </c>
      <c r="V110" s="305">
        <f t="shared" si="311"/>
        <v>9.3898167914105919</v>
      </c>
      <c r="X110" s="186">
        <f t="shared" si="297"/>
        <v>6.2383982101543394</v>
      </c>
      <c r="Y110" s="186">
        <f t="shared" si="298"/>
        <v>6.3033094012977324</v>
      </c>
      <c r="Z110" s="186">
        <f t="shared" si="299"/>
        <v>6.3463566012726167</v>
      </c>
      <c r="AA110" s="186">
        <f t="shared" si="300"/>
        <v>6.1134257010113879</v>
      </c>
      <c r="AB110" s="186">
        <f t="shared" si="301"/>
        <v>6.1773375816217291</v>
      </c>
      <c r="AC110" s="305">
        <f>AC50</f>
        <v>6.4676501119719925</v>
      </c>
      <c r="AD110" s="305">
        <f>AD50</f>
        <v>6.9372305636258043</v>
      </c>
      <c r="AE110" s="305">
        <f>AE50</f>
        <v>7.3367644588294523</v>
      </c>
    </row>
    <row r="111" spans="1:47">
      <c r="A111" s="185" t="s">
        <v>16</v>
      </c>
      <c r="C111" s="228" t="s">
        <v>5</v>
      </c>
      <c r="D111" s="185" t="s">
        <v>173</v>
      </c>
      <c r="E111" s="186">
        <f t="shared" ref="E111" si="312">SUM(E107:E110)</f>
        <v>94.030408240004007</v>
      </c>
      <c r="F111" s="186">
        <f t="shared" si="302"/>
        <v>102.81943625320686</v>
      </c>
      <c r="G111" s="186">
        <f t="shared" si="303"/>
        <v>107.43961527422066</v>
      </c>
      <c r="H111" s="186">
        <f t="shared" si="304"/>
        <v>112.39826350214936</v>
      </c>
      <c r="I111" s="186">
        <f t="shared" si="305"/>
        <v>107.69308386975052</v>
      </c>
      <c r="J111" s="186">
        <f t="shared" si="306"/>
        <v>108.31099851758925</v>
      </c>
      <c r="K111" s="186">
        <f t="shared" si="307"/>
        <v>138.44153570203437</v>
      </c>
      <c r="L111" s="186">
        <f t="shared" si="308"/>
        <v>183.14497862365232</v>
      </c>
      <c r="M111" s="186">
        <f t="shared" si="309"/>
        <v>231.4497024018394</v>
      </c>
      <c r="N111" s="40"/>
      <c r="O111" s="186">
        <f>SUM(O107:O110)</f>
        <v>102.81943625320686</v>
      </c>
      <c r="P111" s="186">
        <f t="shared" ref="P111:V111" si="313">SUM(P107:P110)</f>
        <v>107.43961527422066</v>
      </c>
      <c r="Q111" s="186">
        <f t="shared" si="313"/>
        <v>112.39826350214936</v>
      </c>
      <c r="R111" s="186">
        <f t="shared" si="313"/>
        <v>107.69308386975052</v>
      </c>
      <c r="S111" s="186">
        <f t="shared" si="313"/>
        <v>108.31099851758925</v>
      </c>
      <c r="T111" s="305">
        <f t="shared" si="313"/>
        <v>138.44153570203437</v>
      </c>
      <c r="U111" s="305">
        <f t="shared" si="313"/>
        <v>183.14497862365232</v>
      </c>
      <c r="V111" s="305">
        <f t="shared" si="313"/>
        <v>231.4497024018394</v>
      </c>
      <c r="X111" s="186">
        <f t="shared" si="297"/>
        <v>102.81943625320686</v>
      </c>
      <c r="Y111" s="186">
        <f t="shared" si="298"/>
        <v>107.43961527422066</v>
      </c>
      <c r="Z111" s="186">
        <f t="shared" si="299"/>
        <v>112.39826350214936</v>
      </c>
      <c r="AA111" s="186">
        <f t="shared" si="300"/>
        <v>107.69308386975052</v>
      </c>
      <c r="AB111" s="186">
        <f t="shared" si="301"/>
        <v>108.31099851758925</v>
      </c>
      <c r="AC111" s="305">
        <f>SUM(AC107:AC110)</f>
        <v>124.29787438039314</v>
      </c>
      <c r="AD111" s="305">
        <f>SUM(AD107:AD110)</f>
        <v>144.87230832891316</v>
      </c>
      <c r="AE111" s="305">
        <f>SUM(AE107:AE110)</f>
        <v>158.38917549292213</v>
      </c>
    </row>
    <row r="112" spans="1:47">
      <c r="A112" s="185" t="s">
        <v>16</v>
      </c>
      <c r="C112" s="228"/>
      <c r="E112" s="233">
        <f>SUM(E149:E151)</f>
        <v>94.030408240004007</v>
      </c>
      <c r="F112" s="233">
        <f t="shared" ref="F112:L112" si="314">SUM(F149:F151)</f>
        <v>102.41651927702102</v>
      </c>
      <c r="G112" s="233">
        <f t="shared" si="314"/>
        <v>107.43961527422066</v>
      </c>
      <c r="H112" s="233">
        <f t="shared" si="314"/>
        <v>112.39826350214935</v>
      </c>
      <c r="I112" s="233">
        <f t="shared" si="314"/>
        <v>107.69308386975052</v>
      </c>
      <c r="J112" s="233">
        <f t="shared" si="314"/>
        <v>108.31099851758925</v>
      </c>
      <c r="K112" s="233">
        <f t="shared" si="314"/>
        <v>138.44153570203437</v>
      </c>
      <c r="L112" s="233">
        <f t="shared" si="314"/>
        <v>183.14497862365232</v>
      </c>
      <c r="M112" s="233">
        <f>SUM(M149:M151)</f>
        <v>231.4497024018394</v>
      </c>
      <c r="N112" s="40"/>
    </row>
    <row r="113" spans="1:47" ht="15.75" thickBot="1">
      <c r="A113" s="185" t="s">
        <v>16</v>
      </c>
      <c r="C113" s="227" t="s">
        <v>182</v>
      </c>
      <c r="F113" s="298">
        <f>F$12</f>
        <v>2015</v>
      </c>
      <c r="G113" s="298">
        <f t="shared" ref="G113:M113" si="315">G$12</f>
        <v>2017</v>
      </c>
      <c r="H113" s="298">
        <f t="shared" si="315"/>
        <v>2019</v>
      </c>
      <c r="I113" s="298">
        <f t="shared" si="315"/>
        <v>2020</v>
      </c>
      <c r="J113" s="298">
        <f t="shared" si="315"/>
        <v>2021</v>
      </c>
      <c r="K113" s="298">
        <f t="shared" si="315"/>
        <v>2030</v>
      </c>
      <c r="L113" s="298">
        <f t="shared" si="315"/>
        <v>2040</v>
      </c>
      <c r="M113" s="298">
        <f t="shared" si="315"/>
        <v>2050</v>
      </c>
      <c r="N113" s="40"/>
      <c r="O113" s="298">
        <f>O$12</f>
        <v>2015</v>
      </c>
      <c r="P113" s="298">
        <f t="shared" si="177"/>
        <v>2017</v>
      </c>
      <c r="Q113" s="298">
        <f t="shared" si="177"/>
        <v>2019</v>
      </c>
      <c r="R113" s="298">
        <f t="shared" si="177"/>
        <v>2020</v>
      </c>
      <c r="S113" s="298">
        <f t="shared" si="177"/>
        <v>2021</v>
      </c>
      <c r="T113" s="298">
        <f t="shared" si="177"/>
        <v>2030</v>
      </c>
      <c r="U113" s="298">
        <f t="shared" si="177"/>
        <v>2040</v>
      </c>
      <c r="V113" s="298">
        <f t="shared" si="177"/>
        <v>2050</v>
      </c>
    </row>
    <row r="114" spans="1:47">
      <c r="A114" s="185" t="s">
        <v>16</v>
      </c>
      <c r="C114" s="38" t="str">
        <f>C93</f>
        <v>Low Income</v>
      </c>
      <c r="E114" s="186"/>
      <c r="F114" s="186"/>
      <c r="G114" s="186"/>
      <c r="H114" s="186"/>
      <c r="I114" s="186"/>
      <c r="J114" s="186"/>
      <c r="K114" s="186"/>
      <c r="L114" s="186"/>
      <c r="M114" s="186"/>
      <c r="N114" s="40"/>
    </row>
    <row r="115" spans="1:47">
      <c r="A115" s="185" t="s">
        <v>16</v>
      </c>
      <c r="C115" s="185" t="s">
        <v>63</v>
      </c>
      <c r="D115" s="185" t="s">
        <v>136</v>
      </c>
      <c r="E115" s="186">
        <f t="shared" ref="E115:G115" si="316">E$64*(1-E$73)*E68*(E75*E78+E93*E94)/1000</f>
        <v>1.2530453801078352E-2</v>
      </c>
      <c r="F115" s="186">
        <f t="shared" si="316"/>
        <v>1.2624609164603546E-2</v>
      </c>
      <c r="G115" s="186">
        <f t="shared" si="316"/>
        <v>0.63644513313511442</v>
      </c>
      <c r="H115" s="186">
        <f t="shared" ref="H115:J115" si="317">H$64*(1-H$73)*H68*(H75*H78+H93*H94)/1000</f>
        <v>1.2759279712754543</v>
      </c>
      <c r="I115" s="186">
        <f t="shared" si="317"/>
        <v>1.3328361613181838</v>
      </c>
      <c r="J115" s="186">
        <f t="shared" si="317"/>
        <v>4.19936425879418</v>
      </c>
      <c r="K115" s="186">
        <f>K$64*(1-K$73)*K68*(K75*K78+K93*K94)/1000</f>
        <v>6.6675584370136987</v>
      </c>
      <c r="L115" s="186">
        <f>L$64*(1-L$73)*L68*(L75*L78+L93*L94)/1000</f>
        <v>11.487289030956196</v>
      </c>
      <c r="M115" s="186">
        <f>M$64*(1-M$73)*M68*(M75*M78+M93*M94)/1000</f>
        <v>14.075225967829654</v>
      </c>
      <c r="N115" s="242"/>
      <c r="O115" s="186">
        <f>O$64*(1-O$73)*O68*(O75*O78+O93*O94)/1000</f>
        <v>1.2624609164603546E-2</v>
      </c>
      <c r="P115" s="186">
        <f t="shared" ref="P115:S115" si="318">P$64*(1-P$73)*P68*(P75*P78+P93*P94)/1000</f>
        <v>0.63644513313511442</v>
      </c>
      <c r="Q115" s="186">
        <f t="shared" si="318"/>
        <v>1.2759279712754543</v>
      </c>
      <c r="R115" s="186">
        <f t="shared" si="318"/>
        <v>1.3328361613181838</v>
      </c>
      <c r="S115" s="186">
        <f t="shared" si="318"/>
        <v>4.19936425879418</v>
      </c>
      <c r="T115" s="305">
        <f>T$64*(1-T$73)*T68*(T75*T78+T93*T94)/1000</f>
        <v>6.6675584370136987</v>
      </c>
      <c r="U115" s="305">
        <f>U$64*(1-U$73)*U68*(U75*U78+U93*U94)/1000</f>
        <v>11.487289030956196</v>
      </c>
      <c r="V115" s="305">
        <f>V$64*(1-V$73)*V68*(V75*V78+V93*V94)/1000</f>
        <v>14.075225967829654</v>
      </c>
      <c r="W115" s="241"/>
      <c r="X115" s="186">
        <f>O115</f>
        <v>1.2624609164603546E-2</v>
      </c>
      <c r="Y115" s="186">
        <f t="shared" ref="Y115:AB117" si="319">P115</f>
        <v>0.63644513313511442</v>
      </c>
      <c r="Z115" s="186">
        <f t="shared" si="319"/>
        <v>1.2759279712754543</v>
      </c>
      <c r="AA115" s="186">
        <f t="shared" si="319"/>
        <v>1.3328361613181838</v>
      </c>
      <c r="AB115" s="186">
        <f t="shared" si="319"/>
        <v>4.19936425879418</v>
      </c>
      <c r="AC115" s="305">
        <f>AC$64*(1-AC$73)*AC68*(AC75*AC78+AC93*AC94)/1000</f>
        <v>8.6833319179713282</v>
      </c>
      <c r="AD115" s="305">
        <f>AD$64*(1-AD$73)*AD68*(AD75*AD78+AD93*AD94)/1000</f>
        <v>21.157983517482112</v>
      </c>
      <c r="AE115" s="305">
        <f>AE$64*(1-AE$73)*AE68*(AE75*AE78+AE93*AE94)/1000</f>
        <v>34.39155988418532</v>
      </c>
      <c r="AF115" s="241"/>
      <c r="AG115" s="241"/>
      <c r="AH115" s="241"/>
      <c r="AI115" s="241"/>
      <c r="AJ115" s="241"/>
      <c r="AK115" s="241"/>
      <c r="AL115" s="241"/>
      <c r="AM115" s="241"/>
      <c r="AN115" s="241"/>
      <c r="AO115" s="241"/>
      <c r="AP115" s="241"/>
      <c r="AQ115" s="241"/>
      <c r="AR115" s="241"/>
      <c r="AS115" s="241"/>
      <c r="AT115" s="241"/>
      <c r="AU115" s="241"/>
    </row>
    <row r="116" spans="1:47">
      <c r="A116" s="185" t="s">
        <v>16</v>
      </c>
      <c r="C116" s="185" t="s">
        <v>82</v>
      </c>
      <c r="D116" s="185" t="s">
        <v>136</v>
      </c>
      <c r="E116" s="186">
        <f t="shared" ref="E116:G116" si="320">E$64*(1-E$73)*E69*(E75*E79+E93*E95)/1000</f>
        <v>0</v>
      </c>
      <c r="F116" s="186">
        <f t="shared" si="320"/>
        <v>0</v>
      </c>
      <c r="G116" s="186">
        <f t="shared" si="320"/>
        <v>0</v>
      </c>
      <c r="H116" s="186">
        <f t="shared" ref="H116:J116" si="321">H$64*(1-H$73)*H69*(H75*H79+H93*H95)/1000</f>
        <v>1.7184215101352925E-2</v>
      </c>
      <c r="I116" s="186">
        <f t="shared" si="321"/>
        <v>1.7950655371288673E-2</v>
      </c>
      <c r="J116" s="186">
        <f t="shared" si="321"/>
        <v>1.8694999482667469E-2</v>
      </c>
      <c r="K116" s="186">
        <f>K$64*(1-K$73)*K69*(K75*K79+K93*K95)/1000</f>
        <v>1.7780155832036529E-2</v>
      </c>
      <c r="L116" s="186">
        <f>L$64*(1-L$73)*L69*(L75*L79+L93*L95)/1000</f>
        <v>1.5316385374608265E-2</v>
      </c>
      <c r="M116" s="186">
        <f>M$64*(1-M$73)*M69*(M75*M79+M93*M95)/1000</f>
        <v>1.2511311971404137E-2</v>
      </c>
      <c r="N116" s="242"/>
      <c r="O116" s="186">
        <f>O$64*(1-O$73)*O69*(O75*O79+O93*O95)/1000</f>
        <v>0</v>
      </c>
      <c r="P116" s="186">
        <f t="shared" ref="P116:S116" si="322">P$64*(1-P$73)*P69*(P75*P79+P93*P95)/1000</f>
        <v>0</v>
      </c>
      <c r="Q116" s="186">
        <f t="shared" si="322"/>
        <v>1.7184215101352925E-2</v>
      </c>
      <c r="R116" s="186">
        <f t="shared" si="322"/>
        <v>1.7950655371288673E-2</v>
      </c>
      <c r="S116" s="186">
        <f t="shared" si="322"/>
        <v>1.8694999482667469E-2</v>
      </c>
      <c r="T116" s="305">
        <f>T$64*(1-T$73)*T69*(T75*T79+T93*T95)/1000</f>
        <v>1.7780155832036529E-2</v>
      </c>
      <c r="U116" s="305">
        <f>U$64*(1-U$73)*U69*(U75*U79+U93*U95)/1000</f>
        <v>1.5316385374608265E-2</v>
      </c>
      <c r="V116" s="305">
        <f>V$64*(1-V$73)*V69*(V75*V79+V93*V95)/1000</f>
        <v>1.2511311971404137E-2</v>
      </c>
      <c r="W116" s="241"/>
      <c r="X116" s="186">
        <f t="shared" ref="X116:X117" si="323">O116</f>
        <v>0</v>
      </c>
      <c r="Y116" s="186">
        <f t="shared" si="319"/>
        <v>0</v>
      </c>
      <c r="Z116" s="186">
        <f t="shared" si="319"/>
        <v>1.7184215101352925E-2</v>
      </c>
      <c r="AA116" s="186">
        <f t="shared" si="319"/>
        <v>1.7950655371288673E-2</v>
      </c>
      <c r="AB116" s="186">
        <f t="shared" si="319"/>
        <v>1.8694999482667469E-2</v>
      </c>
      <c r="AC116" s="305">
        <f>AC$64*(1-AC$73)*AC69*(AC75*AC79+AC93*AC95)/1000</f>
        <v>0</v>
      </c>
      <c r="AD116" s="305">
        <f>AD$64*(1-AD$73)*AD69*(AD75*AD79+AD93*AD95)/1000</f>
        <v>0</v>
      </c>
      <c r="AE116" s="305">
        <f>AE$64*(1-AE$73)*AE69*(AE75*AE79+AE93*AE95)/1000</f>
        <v>0</v>
      </c>
      <c r="AF116" s="241"/>
      <c r="AG116" s="241"/>
      <c r="AH116" s="241"/>
      <c r="AI116" s="241"/>
      <c r="AJ116" s="241"/>
      <c r="AK116" s="241"/>
      <c r="AL116" s="241"/>
      <c r="AM116" s="241"/>
      <c r="AN116" s="241"/>
      <c r="AO116" s="241"/>
      <c r="AP116" s="241"/>
      <c r="AQ116" s="241"/>
      <c r="AR116" s="241"/>
      <c r="AS116" s="241"/>
      <c r="AT116" s="241"/>
      <c r="AU116" s="241"/>
    </row>
    <row r="117" spans="1:47">
      <c r="A117" s="185" t="s">
        <v>16</v>
      </c>
      <c r="C117" s="185" t="s">
        <v>81</v>
      </c>
      <c r="D117" s="185" t="s">
        <v>136</v>
      </c>
      <c r="E117" s="186">
        <f>E$64*(1-E$73)*E70*(E75*E80+E93*E96)/1000</f>
        <v>83.494005740008035</v>
      </c>
      <c r="F117" s="186">
        <f t="shared" ref="F117:G117" si="324">F$64*(1-F$73)*F70*(F75*F80+F93*F96)/1000</f>
        <v>83.727843954152846</v>
      </c>
      <c r="G117" s="186">
        <f t="shared" si="324"/>
        <v>78.142994861391927</v>
      </c>
      <c r="H117" s="186">
        <f t="shared" ref="H117:J117" si="325">H$64*(1-H$73)*H70*(H75*H80+H93*H96)/1000</f>
        <v>78.721054156848041</v>
      </c>
      <c r="I117" s="186">
        <f t="shared" si="325"/>
        <v>82.232124382735236</v>
      </c>
      <c r="J117" s="186">
        <f t="shared" si="325"/>
        <v>83.898554500779184</v>
      </c>
      <c r="K117" s="186">
        <f>K$64*(1-K$73)*K70*(K75*K80+K93*K96)/1000</f>
        <v>78.134858549846953</v>
      </c>
      <c r="L117" s="186">
        <f>L$64*(1-L$73)*L70*(L75*L80+L93*L96)/1000</f>
        <v>63.745874211229761</v>
      </c>
      <c r="M117" s="186">
        <f>M$64*(1-M$73)*M70*(M75*M80+M93*M96)/1000</f>
        <v>49.161720077138867</v>
      </c>
      <c r="N117" s="242"/>
      <c r="O117" s="186">
        <f>O$64*(1-O$73)*O70*(O75*O80+O93*O96)/1000</f>
        <v>83.727843954152846</v>
      </c>
      <c r="P117" s="186">
        <f t="shared" ref="P117:S117" si="326">P$64*(1-P$73)*P70*(P75*P80+P93*P96)/1000</f>
        <v>78.142994861391927</v>
      </c>
      <c r="Q117" s="186">
        <f t="shared" si="326"/>
        <v>78.721054156848041</v>
      </c>
      <c r="R117" s="186">
        <f t="shared" si="326"/>
        <v>82.232124382735236</v>
      </c>
      <c r="S117" s="186">
        <f t="shared" si="326"/>
        <v>83.898554500779184</v>
      </c>
      <c r="T117" s="305">
        <f>T$64*(1-T$73)*T70*(T75*T80+T93*T96)/1000</f>
        <v>78.134858549846953</v>
      </c>
      <c r="U117" s="305">
        <f>U$64*(1-U$73)*U70*(U75*U80+U93*U96)/1000</f>
        <v>63.745874211229761</v>
      </c>
      <c r="V117" s="305">
        <f>V$64*(1-V$73)*V70*(V75*V80+V93*V96)/1000</f>
        <v>49.161720077138867</v>
      </c>
      <c r="W117" s="241"/>
      <c r="X117" s="186">
        <f t="shared" si="323"/>
        <v>83.727843954152846</v>
      </c>
      <c r="Y117" s="186">
        <f t="shared" si="319"/>
        <v>78.142994861391927</v>
      </c>
      <c r="Z117" s="186">
        <f t="shared" si="319"/>
        <v>78.721054156848041</v>
      </c>
      <c r="AA117" s="186">
        <f t="shared" si="319"/>
        <v>82.232124382735236</v>
      </c>
      <c r="AB117" s="186">
        <f t="shared" si="319"/>
        <v>83.898554500779184</v>
      </c>
      <c r="AC117" s="305">
        <f>AC$64*(1-AC$73)*AC70*(AC75*AC80+AC93*AC96)/1000</f>
        <v>75.961094627384185</v>
      </c>
      <c r="AD117" s="305">
        <f>AD$64*(1-AD$73)*AD70*(AD75*AD80+AD93*AD96)/1000</f>
        <v>56.543808340079941</v>
      </c>
      <c r="AE117" s="305">
        <f>AE$64*(1-AE$73)*AE70*(AE75*AE80+AE93*AE96)/1000</f>
        <v>34.829580707973363</v>
      </c>
      <c r="AF117" s="241"/>
      <c r="AG117" s="241"/>
      <c r="AH117" s="241"/>
      <c r="AI117" s="241"/>
      <c r="AJ117" s="241"/>
      <c r="AK117" s="241"/>
      <c r="AL117" s="241"/>
      <c r="AM117" s="241"/>
      <c r="AN117" s="241"/>
      <c r="AO117" s="241"/>
      <c r="AP117" s="241"/>
      <c r="AQ117" s="241"/>
      <c r="AR117" s="241"/>
      <c r="AS117" s="241"/>
      <c r="AT117" s="241"/>
      <c r="AU117" s="241"/>
    </row>
    <row r="118" spans="1:47">
      <c r="A118" s="185" t="s">
        <v>16</v>
      </c>
      <c r="C118" s="38" t="str">
        <f>C97</f>
        <v>Middle Income</v>
      </c>
      <c r="E118" s="186"/>
      <c r="F118" s="186"/>
      <c r="G118" s="186"/>
      <c r="H118" s="186"/>
      <c r="I118" s="186"/>
      <c r="J118" s="186"/>
      <c r="K118" s="186"/>
      <c r="L118" s="186"/>
      <c r="M118" s="186"/>
      <c r="N118" s="40"/>
      <c r="O118" s="186"/>
      <c r="P118" s="186"/>
      <c r="Q118" s="186"/>
      <c r="R118" s="186"/>
      <c r="S118" s="186"/>
      <c r="T118" s="186"/>
      <c r="U118" s="186"/>
      <c r="V118" s="186"/>
      <c r="X118" s="186"/>
      <c r="AA118" s="186"/>
      <c r="AC118" s="186"/>
      <c r="AD118" s="186"/>
      <c r="AE118" s="186"/>
    </row>
    <row r="119" spans="1:47">
      <c r="A119" s="185" t="s">
        <v>16</v>
      </c>
      <c r="C119" s="185" t="str">
        <f>C115</f>
        <v>BRT</v>
      </c>
      <c r="D119" s="185" t="s">
        <v>136</v>
      </c>
      <c r="E119" s="186">
        <f t="shared" ref="E119:G119" si="327">E$64*(1-E$73)*E68*(E81*E83+E97*E98)/1000</f>
        <v>0.39846843087429162</v>
      </c>
      <c r="F119" s="186">
        <f t="shared" si="327"/>
        <v>0.42135045049674519</v>
      </c>
      <c r="G119" s="186">
        <f t="shared" si="327"/>
        <v>0.63377332369416362</v>
      </c>
      <c r="H119" s="186">
        <f t="shared" ref="H119:J119" si="328">H$64*(1-H$73)*H68*(H81*H83+H97*H98)/1000</f>
        <v>0.87288439299619169</v>
      </c>
      <c r="I119" s="186">
        <f t="shared" si="328"/>
        <v>0.91957355796629303</v>
      </c>
      <c r="J119" s="186">
        <f t="shared" si="328"/>
        <v>2.6445164203787086</v>
      </c>
      <c r="K119" s="186">
        <f>K$64*(1-K$73)*K68*(K81*K83+K97*K98)/1000</f>
        <v>5.1285046445611622</v>
      </c>
      <c r="L119" s="186">
        <f>L$64*(1-L$73)*L68*(L81*L83+L97*L98)/1000</f>
        <v>11.816752495287997</v>
      </c>
      <c r="M119" s="186">
        <f>M$64*(1-M$73)*M68*(M81*M83+M97*M98)/1000</f>
        <v>19.627616932091286</v>
      </c>
      <c r="N119" s="242"/>
      <c r="O119" s="186">
        <f>O$64*(1-O$73)*O68*(O81*O83+O97*O98)/1000</f>
        <v>0.42135045049674519</v>
      </c>
      <c r="P119" s="186">
        <f t="shared" ref="P119:S119" si="329">P$64*(1-P$73)*P68*(P81*P83+P97*P98)/1000</f>
        <v>0.63377332369416362</v>
      </c>
      <c r="Q119" s="186">
        <f t="shared" si="329"/>
        <v>0.87288439299619169</v>
      </c>
      <c r="R119" s="186">
        <f t="shared" si="329"/>
        <v>0.91957355796629303</v>
      </c>
      <c r="S119" s="186">
        <f t="shared" si="329"/>
        <v>2.6445164203787086</v>
      </c>
      <c r="T119" s="305">
        <f>T$64*(1-T$73)*T68*(T81*T83+T97*T98)/1000</f>
        <v>5.1285046445611622</v>
      </c>
      <c r="U119" s="305">
        <f>U$64*(1-U$73)*U68*(U81*U83+U97*U98)/1000</f>
        <v>11.816752495287997</v>
      </c>
      <c r="V119" s="305">
        <f>V$64*(1-V$73)*V68*(V81*V83+V97*V98)/1000</f>
        <v>19.627616932091286</v>
      </c>
      <c r="W119" s="241"/>
      <c r="X119" s="186">
        <f>O119</f>
        <v>0.42135045049674519</v>
      </c>
      <c r="Y119" s="186">
        <f t="shared" ref="Y119:AB119" si="330">P119</f>
        <v>0.63377332369416362</v>
      </c>
      <c r="Z119" s="186">
        <f t="shared" si="330"/>
        <v>0.87288439299619169</v>
      </c>
      <c r="AA119" s="186">
        <f t="shared" si="330"/>
        <v>0.91957355796629303</v>
      </c>
      <c r="AB119" s="186">
        <f t="shared" si="330"/>
        <v>2.6445164203787086</v>
      </c>
      <c r="AC119" s="305">
        <f>AC$64*(1-AC$73)*AC68*(AC81*AC83+AC97*AC98)/1000</f>
        <v>6.6789827929168633</v>
      </c>
      <c r="AD119" s="305">
        <f>AD$64*(1-AD$73)*AD68*(AD81*AD83+AD97*AD98)/1000</f>
        <v>19.355703183182953</v>
      </c>
      <c r="AE119" s="305">
        <f>AE$64*(1-AE$73)*AE68*(AE81*AE83+AE97*AE98)/1000</f>
        <v>40.39195436587876</v>
      </c>
      <c r="AF119" s="241"/>
      <c r="AG119" s="241"/>
      <c r="AH119" s="241"/>
      <c r="AI119" s="241"/>
      <c r="AJ119" s="241"/>
      <c r="AK119" s="241"/>
      <c r="AL119" s="241"/>
      <c r="AM119" s="241"/>
      <c r="AN119" s="241"/>
      <c r="AO119" s="241"/>
      <c r="AP119" s="241"/>
      <c r="AQ119" s="241"/>
      <c r="AR119" s="241"/>
      <c r="AS119" s="241"/>
      <c r="AT119" s="241"/>
      <c r="AU119" s="241"/>
    </row>
    <row r="120" spans="1:47">
      <c r="A120" s="185" t="s">
        <v>16</v>
      </c>
      <c r="C120" s="185" t="str">
        <f>C116</f>
        <v>Gautrain</v>
      </c>
      <c r="D120" s="185" t="s">
        <v>136</v>
      </c>
      <c r="E120" s="186">
        <f t="shared" ref="E120:G120" si="331">E$64*(1-E$73)*E69*(E81*E84+E97*E99)/1000</f>
        <v>0.20048726081725365</v>
      </c>
      <c r="F120" s="186">
        <f t="shared" si="331"/>
        <v>0.21200022666502907</v>
      </c>
      <c r="G120" s="186">
        <f t="shared" si="331"/>
        <v>0.22092316294349934</v>
      </c>
      <c r="H120" s="186">
        <f t="shared" ref="H120:J120" si="332">H$64*(1-H$73)*H69*(H81*H84+H97*H99)/1000</f>
        <v>0.23276917146565113</v>
      </c>
      <c r="I120" s="186">
        <f t="shared" si="332"/>
        <v>0.24521961545767818</v>
      </c>
      <c r="J120" s="186">
        <f t="shared" si="332"/>
        <v>0.23506812625588516</v>
      </c>
      <c r="K120" s="186">
        <f>K$64*(1-K$73)*K69*(K81*K84+K97*K99)/1000</f>
        <v>0.27352024770992867</v>
      </c>
      <c r="L120" s="186">
        <f>L$64*(1-L$73)*L69*(L81*L84+L97*L99)/1000</f>
        <v>0.31511339987434661</v>
      </c>
      <c r="M120" s="186">
        <f>M$64*(1-M$73)*M69*(M81*M84+M97*M99)/1000</f>
        <v>0.34893541212606738</v>
      </c>
      <c r="N120" s="242"/>
      <c r="O120" s="186">
        <f>O$64*(1-O$73)*O69*(O81*O84+O97*O99)/1000</f>
        <v>0.21200022666502907</v>
      </c>
      <c r="P120" s="186">
        <f t="shared" ref="P120:S120" si="333">P$64*(1-P$73)*P69*(P81*P84+P97*P99)/1000</f>
        <v>0.22092316294349934</v>
      </c>
      <c r="Q120" s="186">
        <f t="shared" si="333"/>
        <v>0.23276917146565113</v>
      </c>
      <c r="R120" s="186">
        <f t="shared" si="333"/>
        <v>0.24521961545767818</v>
      </c>
      <c r="S120" s="186">
        <f t="shared" si="333"/>
        <v>0.23506812625588516</v>
      </c>
      <c r="T120" s="305">
        <f>T$64*(1-T$73)*T69*(T81*T84+T97*T99)/1000</f>
        <v>0.27352024770992867</v>
      </c>
      <c r="U120" s="305">
        <f>U$64*(1-U$73)*U69*(U81*U84+U97*U99)/1000</f>
        <v>0.31511339987434661</v>
      </c>
      <c r="V120" s="305">
        <f>V$64*(1-V$73)*V69*(V81*V84+V97*V99)/1000</f>
        <v>0.34893541212606738</v>
      </c>
      <c r="W120" s="241"/>
      <c r="X120" s="186">
        <f t="shared" ref="X120:X121" si="334">O120</f>
        <v>0.21200022666502907</v>
      </c>
      <c r="Y120" s="186">
        <f t="shared" ref="Y120:Y121" si="335">P120</f>
        <v>0.22092316294349934</v>
      </c>
      <c r="Z120" s="186">
        <f t="shared" ref="Z120:Z121" si="336">Q120</f>
        <v>0.23276917146565113</v>
      </c>
      <c r="AA120" s="186">
        <f t="shared" ref="AA120:AA121" si="337">R120</f>
        <v>0.24521961545767818</v>
      </c>
      <c r="AB120" s="186">
        <f t="shared" ref="AB120:AB121" si="338">S120</f>
        <v>0.23506812625588516</v>
      </c>
      <c r="AC120" s="305">
        <f>AC$64*(1-AC$73)*AC69*(AC81*AC84+AC97*AC99)/1000</f>
        <v>1.2721871986508311</v>
      </c>
      <c r="AD120" s="305">
        <f>AD$64*(1-AD$73)*AD69*(AD81*AD84+AD97*AD99)/1000</f>
        <v>2.9312874406915959</v>
      </c>
      <c r="AE120" s="305">
        <f>AE$64*(1-AE$73)*AE69*(AE81*AE84+AE97*AE99)/1000</f>
        <v>4.8688662157125675</v>
      </c>
      <c r="AF120" s="241"/>
      <c r="AG120" s="241"/>
      <c r="AH120" s="241"/>
      <c r="AI120" s="241"/>
      <c r="AJ120" s="241"/>
      <c r="AK120" s="241"/>
      <c r="AL120" s="241"/>
      <c r="AM120" s="241"/>
      <c r="AN120" s="241"/>
      <c r="AO120" s="241"/>
      <c r="AP120" s="241"/>
      <c r="AQ120" s="241"/>
      <c r="AR120" s="241"/>
      <c r="AS120" s="241"/>
      <c r="AT120" s="241"/>
      <c r="AU120" s="241"/>
    </row>
    <row r="121" spans="1:47">
      <c r="A121" s="185" t="s">
        <v>16</v>
      </c>
      <c r="C121" s="185" t="str">
        <f>C117</f>
        <v>Bus, minibus, metro rail</v>
      </c>
      <c r="D121" s="185" t="s">
        <v>136</v>
      </c>
      <c r="E121" s="186">
        <f t="shared" ref="E121:G121" si="339">E$64*(1-E$73)*E70*(E81*E85+E97*E100)/1000</f>
        <v>35.621834779020006</v>
      </c>
      <c r="F121" s="186">
        <f t="shared" si="339"/>
        <v>37.667415957465934</v>
      </c>
      <c r="G121" s="186">
        <f t="shared" si="339"/>
        <v>36.393505028731127</v>
      </c>
      <c r="H121" s="186">
        <f t="shared" ref="H121:J121" si="340">H$64*(1-H$73)*H70*(H81*H85+H97*H100)/1000</f>
        <v>38.217731587299575</v>
      </c>
      <c r="I121" s="186">
        <f t="shared" si="340"/>
        <v>40.261935824630093</v>
      </c>
      <c r="J121" s="186">
        <f t="shared" si="340"/>
        <v>37.501850544280074</v>
      </c>
      <c r="K121" s="186">
        <f>K$64*(1-K$73)*K70*(K81*K85+K97*K100)/1000</f>
        <v>42.364164585113819</v>
      </c>
      <c r="L121" s="186">
        <f>L$64*(1-L$73)*L70*(L81*L85+L97*L100)/1000</f>
        <v>45.142207770802223</v>
      </c>
      <c r="M121" s="186">
        <f>M$64*(1-M$73)*M70*(M81*M85+M97*M100)/1000</f>
        <v>45.930060065946407</v>
      </c>
      <c r="N121" s="242"/>
      <c r="O121" s="186">
        <f>O$64*(1-O$73)*O70*(O81*O85+O97*O100)/1000</f>
        <v>37.667415957465934</v>
      </c>
      <c r="P121" s="186">
        <f t="shared" ref="P121:S121" si="341">P$64*(1-P$73)*P70*(P81*P85+P97*P100)/1000</f>
        <v>36.393505028731127</v>
      </c>
      <c r="Q121" s="186">
        <f t="shared" si="341"/>
        <v>38.217731587299575</v>
      </c>
      <c r="R121" s="186">
        <f t="shared" si="341"/>
        <v>40.261935824630093</v>
      </c>
      <c r="S121" s="186">
        <f t="shared" si="341"/>
        <v>37.501850544280074</v>
      </c>
      <c r="T121" s="305">
        <f>T$64*(1-T$73)*T70*(T81*T85+T97*T100)/1000</f>
        <v>42.364164585113819</v>
      </c>
      <c r="U121" s="305">
        <f>U$64*(1-U$73)*U70*(U81*U85+U97*U100)/1000</f>
        <v>45.142207770802223</v>
      </c>
      <c r="V121" s="305">
        <f>V$64*(1-V$73)*V70*(V81*V85+V97*V100)/1000</f>
        <v>45.930060065946407</v>
      </c>
      <c r="W121" s="241"/>
      <c r="X121" s="186">
        <f t="shared" si="334"/>
        <v>37.667415957465934</v>
      </c>
      <c r="Y121" s="186">
        <f t="shared" si="335"/>
        <v>36.393505028731127</v>
      </c>
      <c r="Z121" s="186">
        <f t="shared" si="336"/>
        <v>38.217731587299575</v>
      </c>
      <c r="AA121" s="186">
        <f t="shared" si="337"/>
        <v>40.261935824630093</v>
      </c>
      <c r="AB121" s="186">
        <f t="shared" si="338"/>
        <v>37.501850544280074</v>
      </c>
      <c r="AC121" s="305">
        <f>AC$64*(1-AC$73)*AC70*(AC81*AC85+AC97*AC100)/1000</f>
        <v>43.141439675489849</v>
      </c>
      <c r="AD121" s="305">
        <f>AD$64*(1-AD$73)*AD70*(AD81*AD85+AD97*AD100)/1000</f>
        <v>42.922406003073114</v>
      </c>
      <c r="AE121" s="305">
        <f>AE$64*(1-AE$73)*AE70*(AE81*AE85+AE97*AE100)/1000</f>
        <v>36.604152578852933</v>
      </c>
      <c r="AF121" s="241"/>
      <c r="AG121" s="241"/>
      <c r="AH121" s="241"/>
      <c r="AI121" s="241"/>
      <c r="AJ121" s="241"/>
      <c r="AK121" s="241"/>
      <c r="AL121" s="241"/>
      <c r="AM121" s="241"/>
      <c r="AN121" s="241"/>
      <c r="AO121" s="241"/>
      <c r="AP121" s="241"/>
      <c r="AQ121" s="241"/>
      <c r="AR121" s="241"/>
      <c r="AS121" s="241"/>
      <c r="AT121" s="241"/>
      <c r="AU121" s="241"/>
    </row>
    <row r="122" spans="1:47">
      <c r="A122" s="185" t="s">
        <v>16</v>
      </c>
      <c r="C122" s="38" t="str">
        <f>C101</f>
        <v>High Income</v>
      </c>
      <c r="E122" s="186"/>
      <c r="F122" s="186"/>
      <c r="G122" s="186"/>
      <c r="H122" s="186"/>
      <c r="I122" s="186"/>
      <c r="J122" s="186"/>
      <c r="K122" s="186"/>
      <c r="L122" s="186"/>
      <c r="M122" s="186"/>
      <c r="N122" s="40"/>
      <c r="O122" s="186"/>
      <c r="P122" s="186"/>
      <c r="Q122" s="186"/>
      <c r="R122" s="186"/>
      <c r="S122" s="186"/>
      <c r="T122" s="186"/>
      <c r="U122" s="186"/>
      <c r="V122" s="186"/>
      <c r="X122" s="186"/>
      <c r="AA122" s="186"/>
      <c r="AC122" s="186"/>
      <c r="AD122" s="186"/>
      <c r="AE122" s="186"/>
    </row>
    <row r="123" spans="1:47">
      <c r="A123" s="185" t="s">
        <v>16</v>
      </c>
      <c r="C123" s="185" t="str">
        <f>C119</f>
        <v>BRT</v>
      </c>
      <c r="D123" s="185" t="s">
        <v>136</v>
      </c>
      <c r="E123" s="186">
        <f t="shared" ref="E123:G123" si="342">E$64*(1-E$73)*E68*(E86*E88+E101*E102)/1000</f>
        <v>0.11619123639851189</v>
      </c>
      <c r="F123" s="186">
        <f t="shared" si="342"/>
        <v>0.34776782851600568</v>
      </c>
      <c r="G123" s="186">
        <f t="shared" si="342"/>
        <v>0.3027773084206139</v>
      </c>
      <c r="H123" s="186">
        <f t="shared" ref="H123:J123" si="343">H$64*(1-H$73)*H68*(H86*H88+H101*H102)/1000</f>
        <v>0.39017981359122567</v>
      </c>
      <c r="I123" s="186">
        <f t="shared" si="343"/>
        <v>0.35385761315455111</v>
      </c>
      <c r="J123" s="186">
        <f t="shared" si="343"/>
        <v>0.49975067338144613</v>
      </c>
      <c r="K123" s="186">
        <f>K$64*(1-K$73)*K68*(K86*K88+K101*K102)/1000</f>
        <v>2.3985209366925826</v>
      </c>
      <c r="L123" s="186">
        <f>L$64*(1-L$73)*L68*(L86*L88+L101*L102)/1000</f>
        <v>3.681338027969947</v>
      </c>
      <c r="M123" s="186">
        <f>M$64*(1-M$73)*M68*(M86*M88+M101*M102)/1000</f>
        <v>5.1615200688439593</v>
      </c>
      <c r="N123" s="242"/>
      <c r="O123" s="186">
        <f>O$64*(1-O$73)*O68*(O86*O88+O101*O102)/1000</f>
        <v>0.34776782851600568</v>
      </c>
      <c r="P123" s="186">
        <f t="shared" ref="P123:S123" si="344">P$64*(1-P$73)*P68*(P86*P88+P101*P102)/1000</f>
        <v>0.3027773084206139</v>
      </c>
      <c r="Q123" s="186">
        <f t="shared" si="344"/>
        <v>0.39017981359122567</v>
      </c>
      <c r="R123" s="186">
        <f t="shared" si="344"/>
        <v>0.35385761315455111</v>
      </c>
      <c r="S123" s="186">
        <f t="shared" si="344"/>
        <v>0.49975067338144613</v>
      </c>
      <c r="T123" s="305">
        <f>T$64*(1-T$73)*T68*(T86*T88+T101*T102)/1000</f>
        <v>2.3985209366925826</v>
      </c>
      <c r="U123" s="305">
        <f>U$64*(1-U$73)*U68*(U86*U88+U101*U102)/1000</f>
        <v>3.681338027969947</v>
      </c>
      <c r="V123" s="305">
        <f>V$64*(1-V$73)*V68*(V86*V88+V101*V102)/1000</f>
        <v>5.1615200688439593</v>
      </c>
      <c r="W123" s="241"/>
      <c r="X123" s="186">
        <f>O123</f>
        <v>0.34776782851600568</v>
      </c>
      <c r="Y123" s="186">
        <f t="shared" ref="Y123:AB123" si="345">P123</f>
        <v>0.3027773084206139</v>
      </c>
      <c r="Z123" s="186">
        <f t="shared" si="345"/>
        <v>0.39017981359122567</v>
      </c>
      <c r="AA123" s="186">
        <f t="shared" si="345"/>
        <v>0.35385761315455111</v>
      </c>
      <c r="AB123" s="186">
        <f t="shared" si="345"/>
        <v>0.49975067338144613</v>
      </c>
      <c r="AC123" s="305">
        <f>AC$64*(1-AC$73)*AC68*(AC86*AC88+AC101*AC102)/1000</f>
        <v>2.9781660089859328</v>
      </c>
      <c r="AD123" s="305">
        <f>AD$64*(1-AD$73)*AD68*(AD86*AD88+AD101*AD102)/1000</f>
        <v>9.1553918751531835</v>
      </c>
      <c r="AE123" s="305">
        <f>AE$64*(1-AE$73)*AE68*(AE86*AE88+AE101*AE102)/1000</f>
        <v>23.754281145476703</v>
      </c>
      <c r="AF123" s="241"/>
      <c r="AG123" s="241"/>
      <c r="AH123" s="241"/>
      <c r="AI123" s="241"/>
      <c r="AJ123" s="241"/>
      <c r="AK123" s="241"/>
      <c r="AL123" s="241"/>
      <c r="AM123" s="241"/>
      <c r="AN123" s="241"/>
      <c r="AO123" s="241"/>
      <c r="AP123" s="241"/>
      <c r="AQ123" s="241"/>
      <c r="AR123" s="241"/>
      <c r="AS123" s="241"/>
      <c r="AT123" s="241"/>
      <c r="AU123" s="241"/>
    </row>
    <row r="124" spans="1:47">
      <c r="A124" s="185" t="s">
        <v>16</v>
      </c>
      <c r="C124" s="185" t="str">
        <f>C120</f>
        <v>Gautrain</v>
      </c>
      <c r="D124" s="185" t="s">
        <v>136</v>
      </c>
      <c r="E124" s="186">
        <f t="shared" ref="E124:G124" si="346">E$64*(1-E$73)*E69*(E86*E89+E101*E103)/1000</f>
        <v>0.33403851956060127</v>
      </c>
      <c r="F124" s="186">
        <f t="shared" si="346"/>
        <v>0.37640513836747724</v>
      </c>
      <c r="G124" s="186">
        <f t="shared" si="346"/>
        <v>0.40370307789415188</v>
      </c>
      <c r="H124" s="186">
        <f t="shared" ref="H124:J124" si="347">H$64*(1-H$73)*H69*(H86*H89+H101*H103)/1000</f>
        <v>0.42230958323461604</v>
      </c>
      <c r="I124" s="186">
        <f t="shared" si="347"/>
        <v>0.38299639276637093</v>
      </c>
      <c r="J124" s="186">
        <f t="shared" si="347"/>
        <v>0.39296089501888232</v>
      </c>
      <c r="K124" s="186">
        <f>K$64*(1-K$73)*K69*(K86*K89+K101*K103)/1000</f>
        <v>0.53300465259835172</v>
      </c>
      <c r="L124" s="186">
        <f>L$64*(1-L$73)*L69*(L86*L89+L101*L103)/1000</f>
        <v>0.72523231389871978</v>
      </c>
      <c r="M124" s="186">
        <f>M$64*(1-M$73)*M69*(M86*M89+M101*M103)/1000</f>
        <v>0.91319391071212397</v>
      </c>
      <c r="N124" s="242"/>
      <c r="O124" s="186">
        <f>O$64*(1-O$73)*O69*(O86*O89+O101*O103)/1000</f>
        <v>0.37640513836747724</v>
      </c>
      <c r="P124" s="186">
        <f t="shared" ref="P124:S124" si="348">P$64*(1-P$73)*P69*(P86*P89+P101*P103)/1000</f>
        <v>0.40370307789415188</v>
      </c>
      <c r="Q124" s="186">
        <f t="shared" si="348"/>
        <v>0.42230958323461604</v>
      </c>
      <c r="R124" s="186">
        <f t="shared" si="348"/>
        <v>0.38299639276637093</v>
      </c>
      <c r="S124" s="186">
        <f t="shared" si="348"/>
        <v>0.39296089501888232</v>
      </c>
      <c r="T124" s="305">
        <f>T$64*(1-T$73)*T69*(T86*T89+T101*T103)/1000</f>
        <v>0.53300465259835172</v>
      </c>
      <c r="U124" s="305">
        <f>U$64*(1-U$73)*U69*(U86*U89+U101*U103)/1000</f>
        <v>0.72523231389871978</v>
      </c>
      <c r="V124" s="305">
        <f>V$64*(1-V$73)*V69*(V86*V89+V101*V103)/1000</f>
        <v>0.91319391071212397</v>
      </c>
      <c r="W124" s="241"/>
      <c r="X124" s="186">
        <f t="shared" ref="X124:X125" si="349">O124</f>
        <v>0.37640513836747724</v>
      </c>
      <c r="Y124" s="186">
        <f t="shared" ref="Y124:Y125" si="350">P124</f>
        <v>0.40370307789415188</v>
      </c>
      <c r="Z124" s="186">
        <f t="shared" ref="Z124:Z125" si="351">Q124</f>
        <v>0.42230958323461604</v>
      </c>
      <c r="AA124" s="186">
        <f t="shared" ref="AA124:AA125" si="352">R124</f>
        <v>0.38299639276637093</v>
      </c>
      <c r="AB124" s="186">
        <f t="shared" ref="AB124:AB125" si="353">S124</f>
        <v>0.39296089501888232</v>
      </c>
      <c r="AC124" s="305">
        <f>AC$64*(1-AC$73)*AC69*(AC86*AC89+AC101*AC103)/1000</f>
        <v>0.99163656297367753</v>
      </c>
      <c r="AD124" s="305">
        <f>AD$64*(1-AD$73)*AD69*(AD86*AD89+AD101*AD103)/1000</f>
        <v>4.0478082636207606</v>
      </c>
      <c r="AE124" s="305">
        <f>AE$64*(1-AE$73)*AE69*(AE86*AE89+AE101*AE103)/1000</f>
        <v>8.4948270763918519</v>
      </c>
      <c r="AF124" s="241"/>
      <c r="AG124" s="241"/>
      <c r="AH124" s="241"/>
      <c r="AI124" s="241"/>
      <c r="AJ124" s="241"/>
      <c r="AK124" s="241"/>
      <c r="AL124" s="241"/>
      <c r="AM124" s="241"/>
      <c r="AN124" s="241"/>
      <c r="AO124" s="241"/>
      <c r="AP124" s="241"/>
      <c r="AQ124" s="241"/>
      <c r="AR124" s="241"/>
      <c r="AS124" s="241"/>
      <c r="AT124" s="241"/>
      <c r="AU124" s="241"/>
    </row>
    <row r="125" spans="1:47">
      <c r="A125" s="185" t="s">
        <v>16</v>
      </c>
      <c r="C125" s="185" t="str">
        <f>C121</f>
        <v>Bus, minibus, metro rail</v>
      </c>
      <c r="D125" s="185" t="s">
        <v>136</v>
      </c>
      <c r="E125" s="186">
        <f t="shared" ref="E125:G125" si="354">E$64*(1-E$73)*E70*(E86*E90+E101*E104)/1000</f>
        <v>12.147436423540704</v>
      </c>
      <c r="F125" s="186">
        <f t="shared" si="354"/>
        <v>13.543554534711278</v>
      </c>
      <c r="G125" s="186">
        <f t="shared" si="354"/>
        <v>14.028333725816992</v>
      </c>
      <c r="H125" s="186">
        <f t="shared" ref="H125:J125" si="355">H$64*(1-H$73)*H70*(H86*H90+H101*H104)/1000</f>
        <v>14.629344821126011</v>
      </c>
      <c r="I125" s="186">
        <f t="shared" si="355"/>
        <v>13.529836253983341</v>
      </c>
      <c r="J125" s="186">
        <f t="shared" si="355"/>
        <v>13.505145456961287</v>
      </c>
      <c r="K125" s="186">
        <f>K$64*(1-K$73)*K70*(K86*K90+K101*K104)/1000</f>
        <v>16.691987409087627</v>
      </c>
      <c r="L125" s="186">
        <f>L$64*(1-L$73)*L70*(L86*L90+L101*L104)/1000</f>
        <v>19.956978619709329</v>
      </c>
      <c r="M125" s="186">
        <f>M$64*(1-M$73)*M70*(M86*M90+M101*M104)/1000</f>
        <v>20.980591351707417</v>
      </c>
      <c r="N125" s="242"/>
      <c r="O125" s="186">
        <f>O$64*(1-O$73)*O70*(O86*O90+O101*O104)/1000</f>
        <v>13.543554534711278</v>
      </c>
      <c r="P125" s="186">
        <f t="shared" ref="P125:S125" si="356">P$64*(1-P$73)*P70*(P86*P90+P101*P104)/1000</f>
        <v>14.028333725816992</v>
      </c>
      <c r="Q125" s="186">
        <f t="shared" si="356"/>
        <v>14.629344821126011</v>
      </c>
      <c r="R125" s="186">
        <f t="shared" si="356"/>
        <v>13.529836253983341</v>
      </c>
      <c r="S125" s="186">
        <f t="shared" si="356"/>
        <v>13.505145456961287</v>
      </c>
      <c r="T125" s="305">
        <f>T$64*(1-T$73)*T70*(T86*T90+T101*T104)/1000</f>
        <v>16.691987409087627</v>
      </c>
      <c r="U125" s="305">
        <f>U$64*(1-U$73)*U70*(U86*U90+U101*U104)/1000</f>
        <v>19.956978619709329</v>
      </c>
      <c r="V125" s="305">
        <f>V$64*(1-V$73)*V70*(V86*V90+V101*V104)/1000</f>
        <v>20.980591351707417</v>
      </c>
      <c r="W125" s="241"/>
      <c r="X125" s="186">
        <f t="shared" si="349"/>
        <v>13.543554534711278</v>
      </c>
      <c r="Y125" s="186">
        <f t="shared" si="350"/>
        <v>14.028333725816992</v>
      </c>
      <c r="Z125" s="186">
        <f t="shared" si="351"/>
        <v>14.629344821126011</v>
      </c>
      <c r="AA125" s="186">
        <f t="shared" si="352"/>
        <v>13.529836253983341</v>
      </c>
      <c r="AB125" s="186">
        <f t="shared" si="353"/>
        <v>13.505145456961287</v>
      </c>
      <c r="AC125" s="305">
        <f>AC$64*(1-AC$73)*AC70*(AC86*AC90+AC101*AC104)/1000</f>
        <v>19.10992036429494</v>
      </c>
      <c r="AD125" s="305">
        <f>AD$64*(1-AD$73)*AD70*(AD86*AD90+AD101*AD104)/1000</f>
        <v>24.036118474365466</v>
      </c>
      <c r="AE125" s="305">
        <f>AE$64*(1-AE$73)*AE70*(AE86*AE90+AE101*AE104)/1000</f>
        <v>23.667003542495209</v>
      </c>
      <c r="AF125" s="241"/>
      <c r="AG125" s="241"/>
      <c r="AH125" s="241"/>
      <c r="AI125" s="241"/>
      <c r="AJ125" s="241"/>
      <c r="AK125" s="241"/>
      <c r="AL125" s="241"/>
      <c r="AM125" s="241"/>
      <c r="AN125" s="241"/>
      <c r="AO125" s="241"/>
      <c r="AP125" s="241"/>
      <c r="AQ125" s="241"/>
      <c r="AR125" s="241"/>
      <c r="AS125" s="241"/>
      <c r="AT125" s="241"/>
      <c r="AU125" s="241"/>
    </row>
    <row r="126" spans="1:47">
      <c r="A126" s="185" t="s">
        <v>16</v>
      </c>
      <c r="C126" s="38" t="s">
        <v>5</v>
      </c>
      <c r="E126" s="186"/>
      <c r="F126" s="186"/>
      <c r="G126" s="186"/>
      <c r="H126" s="186"/>
      <c r="I126" s="186"/>
      <c r="J126" s="186"/>
      <c r="K126" s="186"/>
      <c r="L126" s="186"/>
      <c r="M126" s="186"/>
      <c r="N126" s="40"/>
      <c r="O126" s="186"/>
      <c r="P126" s="186"/>
      <c r="Q126" s="186"/>
      <c r="R126" s="186"/>
      <c r="S126" s="186"/>
      <c r="T126" s="186"/>
      <c r="U126" s="186"/>
      <c r="V126" s="186"/>
      <c r="X126" s="186"/>
      <c r="AA126" s="186"/>
      <c r="AC126" s="186"/>
      <c r="AD126" s="186"/>
      <c r="AE126" s="186"/>
    </row>
    <row r="127" spans="1:47">
      <c r="A127" s="185" t="s">
        <v>16</v>
      </c>
      <c r="C127" s="185" t="str">
        <f>C123</f>
        <v>BRT</v>
      </c>
      <c r="D127" s="185" t="s">
        <v>136</v>
      </c>
      <c r="E127" s="186">
        <f t="shared" ref="E127:G129" si="357">E115+E119+E123</f>
        <v>0.52719012107388186</v>
      </c>
      <c r="F127" s="186">
        <f t="shared" si="357"/>
        <v>0.78174288817735449</v>
      </c>
      <c r="G127" s="186">
        <f t="shared" si="357"/>
        <v>1.572995765249892</v>
      </c>
      <c r="H127" s="186">
        <f t="shared" ref="H127:J127" si="358">H115+H119+H123</f>
        <v>2.5389921778628719</v>
      </c>
      <c r="I127" s="186">
        <f t="shared" si="358"/>
        <v>2.6062673324390282</v>
      </c>
      <c r="J127" s="186">
        <f t="shared" si="358"/>
        <v>7.3436313525543353</v>
      </c>
      <c r="K127" s="186">
        <f t="shared" ref="K127:M129" si="359">K115+K119+K123</f>
        <v>14.194584018267443</v>
      </c>
      <c r="L127" s="186">
        <f t="shared" si="359"/>
        <v>26.985379554214138</v>
      </c>
      <c r="M127" s="186">
        <f t="shared" si="359"/>
        <v>38.864362968764894</v>
      </c>
      <c r="N127" s="242"/>
      <c r="O127" s="186">
        <f t="shared" ref="O127:S129" si="360">O115+O119+O123</f>
        <v>0.78174288817735449</v>
      </c>
      <c r="P127" s="186">
        <f t="shared" si="360"/>
        <v>1.572995765249892</v>
      </c>
      <c r="Q127" s="186">
        <f t="shared" si="360"/>
        <v>2.5389921778628719</v>
      </c>
      <c r="R127" s="186">
        <f t="shared" si="360"/>
        <v>2.6062673324390282</v>
      </c>
      <c r="S127" s="186">
        <f t="shared" si="360"/>
        <v>7.3436313525543353</v>
      </c>
      <c r="T127" s="305">
        <f t="shared" ref="T127:V129" si="361">T115+T119+T123</f>
        <v>14.194584018267443</v>
      </c>
      <c r="U127" s="305">
        <f t="shared" si="361"/>
        <v>26.985379554214138</v>
      </c>
      <c r="V127" s="305">
        <f t="shared" si="361"/>
        <v>38.864362968764894</v>
      </c>
      <c r="W127" s="241"/>
      <c r="X127" s="186">
        <f>O127</f>
        <v>0.78174288817735449</v>
      </c>
      <c r="Y127" s="186">
        <f t="shared" ref="Y127:AB127" si="362">P127</f>
        <v>1.572995765249892</v>
      </c>
      <c r="Z127" s="186">
        <f t="shared" si="362"/>
        <v>2.5389921778628719</v>
      </c>
      <c r="AA127" s="186">
        <f t="shared" si="362"/>
        <v>2.6062673324390282</v>
      </c>
      <c r="AB127" s="186">
        <f t="shared" si="362"/>
        <v>7.3436313525543353</v>
      </c>
      <c r="AC127" s="305">
        <f t="shared" ref="AC127:AE129" si="363">AC115+AC119+AC123</f>
        <v>18.340480719874126</v>
      </c>
      <c r="AD127" s="305">
        <f t="shared" si="363"/>
        <v>49.669078575818247</v>
      </c>
      <c r="AE127" s="305">
        <f t="shared" si="363"/>
        <v>98.537795395540797</v>
      </c>
      <c r="AF127" s="241"/>
      <c r="AG127" s="241"/>
      <c r="AH127" s="241"/>
      <c r="AI127" s="241"/>
      <c r="AJ127" s="241"/>
      <c r="AK127" s="241"/>
      <c r="AL127" s="241"/>
      <c r="AM127" s="241"/>
      <c r="AN127" s="241"/>
      <c r="AO127" s="241"/>
      <c r="AP127" s="241"/>
      <c r="AQ127" s="241"/>
      <c r="AR127" s="241"/>
      <c r="AS127" s="241"/>
      <c r="AT127" s="241"/>
      <c r="AU127" s="241"/>
    </row>
    <row r="128" spans="1:47">
      <c r="A128" s="185" t="s">
        <v>16</v>
      </c>
      <c r="C128" s="185" t="str">
        <f>C124</f>
        <v>Gautrain</v>
      </c>
      <c r="D128" s="185" t="s">
        <v>136</v>
      </c>
      <c r="E128" s="186">
        <f t="shared" si="357"/>
        <v>0.53452578037785492</v>
      </c>
      <c r="F128" s="186">
        <f t="shared" si="357"/>
        <v>0.58840536503250629</v>
      </c>
      <c r="G128" s="186">
        <f t="shared" si="357"/>
        <v>0.62462624083765128</v>
      </c>
      <c r="H128" s="186">
        <f t="shared" ref="H128:J128" si="364">H116+H120+H124</f>
        <v>0.67226296980162004</v>
      </c>
      <c r="I128" s="186">
        <f t="shared" si="364"/>
        <v>0.64616666359533781</v>
      </c>
      <c r="J128" s="186">
        <f t="shared" si="364"/>
        <v>0.64672402075743496</v>
      </c>
      <c r="K128" s="186">
        <f t="shared" si="359"/>
        <v>0.82430505614031691</v>
      </c>
      <c r="L128" s="186">
        <f t="shared" si="359"/>
        <v>1.0556620991476746</v>
      </c>
      <c r="M128" s="186">
        <f t="shared" si="359"/>
        <v>1.2746406348095956</v>
      </c>
      <c r="N128" s="242"/>
      <c r="O128" s="186">
        <f t="shared" si="360"/>
        <v>0.58840536503250629</v>
      </c>
      <c r="P128" s="186">
        <f t="shared" si="360"/>
        <v>0.62462624083765128</v>
      </c>
      <c r="Q128" s="186">
        <f t="shared" si="360"/>
        <v>0.67226296980162004</v>
      </c>
      <c r="R128" s="186">
        <f t="shared" si="360"/>
        <v>0.64616666359533781</v>
      </c>
      <c r="S128" s="186">
        <f t="shared" si="360"/>
        <v>0.64672402075743496</v>
      </c>
      <c r="T128" s="305">
        <f t="shared" si="361"/>
        <v>0.82430505614031691</v>
      </c>
      <c r="U128" s="305">
        <f t="shared" si="361"/>
        <v>1.0556620991476746</v>
      </c>
      <c r="V128" s="305">
        <f t="shared" si="361"/>
        <v>1.2746406348095956</v>
      </c>
      <c r="W128" s="241"/>
      <c r="X128" s="186">
        <f>O128</f>
        <v>0.58840536503250629</v>
      </c>
      <c r="Y128" s="186">
        <f t="shared" ref="Y128" si="365">P128</f>
        <v>0.62462624083765128</v>
      </c>
      <c r="Z128" s="186">
        <f t="shared" ref="Z128" si="366">Q128</f>
        <v>0.67226296980162004</v>
      </c>
      <c r="AA128" s="186">
        <f t="shared" ref="AA128" si="367">R128</f>
        <v>0.64616666359533781</v>
      </c>
      <c r="AB128" s="186">
        <f t="shared" ref="AB128" si="368">S128</f>
        <v>0.64672402075743496</v>
      </c>
      <c r="AC128" s="305">
        <f t="shared" si="363"/>
        <v>2.2638237616245087</v>
      </c>
      <c r="AD128" s="305">
        <f t="shared" si="363"/>
        <v>6.9790957043123569</v>
      </c>
      <c r="AE128" s="305">
        <f t="shared" si="363"/>
        <v>13.363693292104418</v>
      </c>
      <c r="AF128" s="241"/>
      <c r="AG128" s="241"/>
      <c r="AH128" s="241"/>
      <c r="AI128" s="241"/>
      <c r="AJ128" s="241"/>
      <c r="AK128" s="241"/>
      <c r="AL128" s="241"/>
      <c r="AM128" s="241"/>
      <c r="AN128" s="241"/>
      <c r="AO128" s="241"/>
      <c r="AP128" s="241"/>
      <c r="AQ128" s="241"/>
      <c r="AR128" s="241"/>
      <c r="AS128" s="241"/>
      <c r="AT128" s="241"/>
      <c r="AU128" s="241"/>
    </row>
    <row r="129" spans="1:47">
      <c r="A129" s="185" t="s">
        <v>16</v>
      </c>
      <c r="C129" s="185" t="str">
        <f>C125</f>
        <v>Bus, minibus, metro rail</v>
      </c>
      <c r="D129" s="185" t="s">
        <v>136</v>
      </c>
      <c r="E129" s="186">
        <f t="shared" si="357"/>
        <v>131.26327694256875</v>
      </c>
      <c r="F129" s="186">
        <f t="shared" si="357"/>
        <v>134.93881444633007</v>
      </c>
      <c r="G129" s="186">
        <f t="shared" si="357"/>
        <v>128.56483361594005</v>
      </c>
      <c r="H129" s="186">
        <f t="shared" ref="H129:J129" si="369">H117+H121+H125</f>
        <v>131.56813056527363</v>
      </c>
      <c r="I129" s="186">
        <f t="shared" si="369"/>
        <v>136.02389646134867</v>
      </c>
      <c r="J129" s="186">
        <f t="shared" si="369"/>
        <v>134.90555050202056</v>
      </c>
      <c r="K129" s="186">
        <f t="shared" si="359"/>
        <v>137.1910105440484</v>
      </c>
      <c r="L129" s="186">
        <f t="shared" si="359"/>
        <v>128.84506060174132</v>
      </c>
      <c r="M129" s="186">
        <f t="shared" si="359"/>
        <v>116.07237149479269</v>
      </c>
      <c r="N129" s="242"/>
      <c r="O129" s="186">
        <f t="shared" si="360"/>
        <v>134.93881444633007</v>
      </c>
      <c r="P129" s="186">
        <f t="shared" si="360"/>
        <v>128.56483361594005</v>
      </c>
      <c r="Q129" s="186">
        <f t="shared" si="360"/>
        <v>131.56813056527363</v>
      </c>
      <c r="R129" s="186">
        <f t="shared" si="360"/>
        <v>136.02389646134867</v>
      </c>
      <c r="S129" s="186">
        <f t="shared" si="360"/>
        <v>134.90555050202056</v>
      </c>
      <c r="T129" s="305">
        <f t="shared" si="361"/>
        <v>137.1910105440484</v>
      </c>
      <c r="U129" s="305">
        <f t="shared" si="361"/>
        <v>128.84506060174132</v>
      </c>
      <c r="V129" s="305">
        <f t="shared" si="361"/>
        <v>116.07237149479269</v>
      </c>
      <c r="W129" s="241"/>
      <c r="X129" s="186">
        <f>X117+X121+X125</f>
        <v>134.93881444633007</v>
      </c>
      <c r="Y129" s="186">
        <f t="shared" ref="Y129:AB129" si="370">Y117+Y121+Y125</f>
        <v>128.56483361594005</v>
      </c>
      <c r="Z129" s="186">
        <f t="shared" si="370"/>
        <v>131.56813056527363</v>
      </c>
      <c r="AA129" s="186">
        <f t="shared" si="370"/>
        <v>136.02389646134867</v>
      </c>
      <c r="AB129" s="186">
        <f t="shared" si="370"/>
        <v>134.90555050202056</v>
      </c>
      <c r="AC129" s="305">
        <f t="shared" si="363"/>
        <v>138.21245466716897</v>
      </c>
      <c r="AD129" s="305">
        <f t="shared" si="363"/>
        <v>123.50233281751852</v>
      </c>
      <c r="AE129" s="305">
        <f t="shared" si="363"/>
        <v>95.100736829321505</v>
      </c>
      <c r="AF129" s="241"/>
      <c r="AG129" s="241"/>
      <c r="AH129" s="241"/>
      <c r="AI129" s="241"/>
      <c r="AJ129" s="241"/>
      <c r="AK129" s="241"/>
      <c r="AL129" s="241"/>
      <c r="AM129" s="241"/>
      <c r="AN129" s="241"/>
      <c r="AO129" s="241"/>
      <c r="AP129" s="241"/>
      <c r="AQ129" s="241"/>
      <c r="AR129" s="241"/>
      <c r="AS129" s="241"/>
      <c r="AT129" s="241"/>
      <c r="AU129" s="241"/>
    </row>
    <row r="130" spans="1:47">
      <c r="A130" s="185" t="s">
        <v>16</v>
      </c>
      <c r="L130" s="185"/>
      <c r="N130" s="40"/>
    </row>
    <row r="131" spans="1:47" ht="15.75" thickBot="1">
      <c r="A131" s="185" t="s">
        <v>16</v>
      </c>
      <c r="C131" s="227" t="s">
        <v>175</v>
      </c>
      <c r="E131" s="232"/>
      <c r="F131" s="298">
        <f>F$12</f>
        <v>2015</v>
      </c>
      <c r="G131" s="298">
        <f t="shared" ref="G131:M131" si="371">G$12</f>
        <v>2017</v>
      </c>
      <c r="H131" s="298">
        <f t="shared" si="371"/>
        <v>2019</v>
      </c>
      <c r="I131" s="298">
        <f t="shared" si="371"/>
        <v>2020</v>
      </c>
      <c r="J131" s="298">
        <f t="shared" si="371"/>
        <v>2021</v>
      </c>
      <c r="K131" s="298">
        <f t="shared" si="371"/>
        <v>2030</v>
      </c>
      <c r="L131" s="298">
        <f t="shared" si="371"/>
        <v>2040</v>
      </c>
      <c r="M131" s="298">
        <f t="shared" si="371"/>
        <v>2050</v>
      </c>
      <c r="N131" s="40"/>
      <c r="O131" s="298">
        <f>O$12</f>
        <v>2015</v>
      </c>
      <c r="P131" s="298">
        <f t="shared" ref="P131:V131" si="372">P$12</f>
        <v>2017</v>
      </c>
      <c r="Q131" s="298">
        <f t="shared" si="372"/>
        <v>2019</v>
      </c>
      <c r="R131" s="298">
        <f t="shared" si="372"/>
        <v>2020</v>
      </c>
      <c r="S131" s="298">
        <f t="shared" si="372"/>
        <v>2021</v>
      </c>
      <c r="T131" s="298">
        <f t="shared" si="372"/>
        <v>2030</v>
      </c>
      <c r="U131" s="298">
        <f t="shared" si="372"/>
        <v>2040</v>
      </c>
      <c r="V131" s="298">
        <f t="shared" si="372"/>
        <v>2050</v>
      </c>
      <c r="X131" s="185" t="s">
        <v>205</v>
      </c>
    </row>
    <row r="132" spans="1:47">
      <c r="A132" s="185" t="s">
        <v>16</v>
      </c>
      <c r="C132" s="228" t="s">
        <v>100</v>
      </c>
      <c r="E132" s="67">
        <f>[2]Calib_1011!M77</f>
        <v>0.86657939364773595</v>
      </c>
      <c r="F132" s="186">
        <f>IF($D$4,X132,O132)</f>
        <v>0.86657939364773595</v>
      </c>
      <c r="G132" s="186">
        <f t="shared" ref="G132:M134" si="373">IF($D$4,Y132,P132)</f>
        <v>0.87049807858580153</v>
      </c>
      <c r="H132" s="186">
        <f t="shared" si="373"/>
        <v>0.87049807858580153</v>
      </c>
      <c r="I132" s="186">
        <f t="shared" si="373"/>
        <v>0.87049807858580153</v>
      </c>
      <c r="J132" s="186">
        <f t="shared" si="373"/>
        <v>0.87049807858580153</v>
      </c>
      <c r="K132" s="186">
        <f t="shared" si="373"/>
        <v>0.87049807858580153</v>
      </c>
      <c r="L132" s="186">
        <f t="shared" si="373"/>
        <v>0.87049807858580153</v>
      </c>
      <c r="M132" s="186">
        <f t="shared" si="373"/>
        <v>0.87049807858580153</v>
      </c>
      <c r="N132" s="40"/>
      <c r="O132" s="231">
        <f>E132</f>
        <v>0.86657939364773595</v>
      </c>
      <c r="P132" s="231">
        <f t="shared" ref="P132" si="374">1-P133-P134</f>
        <v>0.87049807858580153</v>
      </c>
      <c r="Q132" s="231">
        <f t="shared" ref="Q132:V132" si="375">1-Q133-Q134</f>
        <v>0.87049807858580153</v>
      </c>
      <c r="R132" s="231">
        <f t="shared" si="375"/>
        <v>0.87049807858580153</v>
      </c>
      <c r="S132" s="231">
        <f t="shared" si="375"/>
        <v>0.87049807858580153</v>
      </c>
      <c r="T132" s="68">
        <f t="shared" si="375"/>
        <v>0.87049807858580153</v>
      </c>
      <c r="U132" s="68">
        <f t="shared" si="375"/>
        <v>0.87049807858580153</v>
      </c>
      <c r="V132" s="68">
        <f t="shared" si="375"/>
        <v>0.87049807858580153</v>
      </c>
      <c r="X132" s="231">
        <f>O132</f>
        <v>0.86657939364773595</v>
      </c>
      <c r="Y132" s="231">
        <f t="shared" ref="Y132:AB132" si="376">P132</f>
        <v>0.87049807858580153</v>
      </c>
      <c r="Z132" s="231">
        <f t="shared" si="376"/>
        <v>0.87049807858580153</v>
      </c>
      <c r="AA132" s="231">
        <f t="shared" si="376"/>
        <v>0.87049807858580153</v>
      </c>
      <c r="AB132" s="231">
        <f t="shared" si="376"/>
        <v>0.87049807858580153</v>
      </c>
      <c r="AC132" s="68">
        <f>1-AC133-AC134</f>
        <v>0.88</v>
      </c>
      <c r="AD132" s="68">
        <f>1-AD133-AD134</f>
        <v>0.89</v>
      </c>
      <c r="AE132" s="68">
        <f>1-AE133-AE134</f>
        <v>0.89</v>
      </c>
    </row>
    <row r="133" spans="1:47">
      <c r="A133" s="185" t="s">
        <v>16</v>
      </c>
      <c r="C133" s="228" t="s">
        <v>99</v>
      </c>
      <c r="E133" s="67">
        <f>[2]Calib_1011!M78</f>
        <v>9.950192141419846E-2</v>
      </c>
      <c r="F133" s="186">
        <f t="shared" ref="F133:F134" si="377">IF($D$4,X133,O133)</f>
        <v>9.950192141419846E-2</v>
      </c>
      <c r="G133" s="186">
        <f t="shared" si="373"/>
        <v>9.950192141419846E-2</v>
      </c>
      <c r="H133" s="186">
        <f t="shared" si="373"/>
        <v>9.950192141419846E-2</v>
      </c>
      <c r="I133" s="186">
        <f t="shared" si="373"/>
        <v>9.950192141419846E-2</v>
      </c>
      <c r="J133" s="186">
        <f t="shared" si="373"/>
        <v>9.950192141419846E-2</v>
      </c>
      <c r="K133" s="186">
        <f t="shared" si="373"/>
        <v>9.950192141419846E-2</v>
      </c>
      <c r="L133" s="186">
        <f t="shared" si="373"/>
        <v>9.950192141419846E-2</v>
      </c>
      <c r="M133" s="186">
        <f t="shared" si="373"/>
        <v>9.950192141419846E-2</v>
      </c>
      <c r="N133" s="40"/>
      <c r="O133" s="231">
        <f t="shared" ref="O133:O134" si="378">E133</f>
        <v>9.950192141419846E-2</v>
      </c>
      <c r="P133" s="231">
        <f>O133</f>
        <v>9.950192141419846E-2</v>
      </c>
      <c r="Q133" s="231">
        <f t="shared" ref="Q133:V133" si="379">P133</f>
        <v>9.950192141419846E-2</v>
      </c>
      <c r="R133" s="231">
        <f t="shared" si="379"/>
        <v>9.950192141419846E-2</v>
      </c>
      <c r="S133" s="231">
        <f t="shared" si="379"/>
        <v>9.950192141419846E-2</v>
      </c>
      <c r="T133" s="68">
        <f t="shared" si="379"/>
        <v>9.950192141419846E-2</v>
      </c>
      <c r="U133" s="68">
        <f t="shared" si="379"/>
        <v>9.950192141419846E-2</v>
      </c>
      <c r="V133" s="68">
        <f t="shared" si="379"/>
        <v>9.950192141419846E-2</v>
      </c>
      <c r="X133" s="231">
        <f t="shared" ref="X133:X134" si="380">O133</f>
        <v>9.950192141419846E-2</v>
      </c>
      <c r="Y133" s="231">
        <f t="shared" ref="Y133:Y134" si="381">P133</f>
        <v>9.950192141419846E-2</v>
      </c>
      <c r="Z133" s="231">
        <f t="shared" ref="Z133:Z134" si="382">Q133</f>
        <v>9.950192141419846E-2</v>
      </c>
      <c r="AA133" s="231">
        <f t="shared" ref="AA133:AA134" si="383">R133</f>
        <v>9.950192141419846E-2</v>
      </c>
      <c r="AB133" s="231">
        <f t="shared" ref="AB133:AB134" si="384">S133</f>
        <v>9.950192141419846E-2</v>
      </c>
      <c r="AC133" s="76">
        <v>0.09</v>
      </c>
      <c r="AD133" s="76">
        <v>0.08</v>
      </c>
      <c r="AE133" s="68">
        <f>AD133</f>
        <v>0.08</v>
      </c>
    </row>
    <row r="134" spans="1:47">
      <c r="A134" s="185" t="s">
        <v>16</v>
      </c>
      <c r="C134" s="228" t="s">
        <v>176</v>
      </c>
      <c r="E134" s="329">
        <f>[2]Calib_1011!M79</f>
        <v>3.3918684938065609E-2</v>
      </c>
      <c r="F134" s="109">
        <f t="shared" si="377"/>
        <v>0.03</v>
      </c>
      <c r="G134" s="109">
        <f t="shared" si="373"/>
        <v>0.03</v>
      </c>
      <c r="H134" s="109">
        <f t="shared" si="373"/>
        <v>0.03</v>
      </c>
      <c r="I134" s="109">
        <f t="shared" si="373"/>
        <v>0.03</v>
      </c>
      <c r="J134" s="109">
        <f t="shared" si="373"/>
        <v>0.03</v>
      </c>
      <c r="K134" s="109">
        <f t="shared" si="373"/>
        <v>0.03</v>
      </c>
      <c r="L134" s="109">
        <f t="shared" si="373"/>
        <v>0.03</v>
      </c>
      <c r="M134" s="109">
        <f>IF($D$4,AE134,V134)</f>
        <v>0.03</v>
      </c>
      <c r="N134" s="40"/>
      <c r="O134" s="330">
        <v>0.03</v>
      </c>
      <c r="P134" s="330">
        <f>O134</f>
        <v>0.03</v>
      </c>
      <c r="Q134" s="231">
        <f t="shared" ref="Q134:V134" si="385">P134</f>
        <v>0.03</v>
      </c>
      <c r="R134" s="231">
        <f t="shared" si="385"/>
        <v>0.03</v>
      </c>
      <c r="S134" s="231">
        <f t="shared" si="385"/>
        <v>0.03</v>
      </c>
      <c r="T134" s="68">
        <f t="shared" si="385"/>
        <v>0.03</v>
      </c>
      <c r="U134" s="68">
        <f t="shared" si="385"/>
        <v>0.03</v>
      </c>
      <c r="V134" s="68">
        <f t="shared" si="385"/>
        <v>0.03</v>
      </c>
      <c r="X134" s="231">
        <f t="shared" si="380"/>
        <v>0.03</v>
      </c>
      <c r="Y134" s="231">
        <f t="shared" si="381"/>
        <v>0.03</v>
      </c>
      <c r="Z134" s="231">
        <f t="shared" si="382"/>
        <v>0.03</v>
      </c>
      <c r="AA134" s="231">
        <f t="shared" si="383"/>
        <v>0.03</v>
      </c>
      <c r="AB134" s="231">
        <f t="shared" si="384"/>
        <v>0.03</v>
      </c>
      <c r="AC134" s="68">
        <f>AA134</f>
        <v>0.03</v>
      </c>
      <c r="AD134" s="68">
        <f>AC134</f>
        <v>0.03</v>
      </c>
      <c r="AE134" s="68">
        <f>AD134</f>
        <v>0.03</v>
      </c>
    </row>
    <row r="135" spans="1:47">
      <c r="A135" s="185" t="s">
        <v>16</v>
      </c>
      <c r="C135" s="228"/>
      <c r="E135" s="232"/>
      <c r="F135" s="232"/>
      <c r="G135" s="232"/>
      <c r="I135" s="232"/>
      <c r="K135" s="232"/>
      <c r="L135" s="232"/>
      <c r="M135" s="232"/>
      <c r="N135" s="40"/>
      <c r="S135" s="283"/>
    </row>
    <row r="136" spans="1:47" ht="15.75" thickBot="1">
      <c r="A136" s="185" t="s">
        <v>16</v>
      </c>
      <c r="C136" s="227" t="s">
        <v>185</v>
      </c>
      <c r="E136" s="232"/>
      <c r="F136" s="232"/>
      <c r="G136" s="232"/>
      <c r="I136" s="232"/>
      <c r="K136" s="232"/>
      <c r="L136" s="232"/>
      <c r="M136" s="232"/>
      <c r="N136" s="40"/>
      <c r="S136" s="283"/>
      <c r="T136" s="287"/>
      <c r="U136" s="287"/>
      <c r="V136" s="287"/>
      <c r="W136" s="287"/>
    </row>
    <row r="137" spans="1:47">
      <c r="A137" s="185" t="s">
        <v>16</v>
      </c>
      <c r="C137" s="228" t="s">
        <v>62</v>
      </c>
      <c r="E137" s="67">
        <f>[2]Calib_1011!M71</f>
        <v>0.25980514219360507</v>
      </c>
      <c r="F137" s="186">
        <f t="shared" ref="F137:F139" si="386">IF($D$4,X137,O137)</f>
        <v>0.20390257109680254</v>
      </c>
      <c r="G137" s="186">
        <f t="shared" ref="G137:G139" si="387">IF($D$4,Y137,P137)</f>
        <v>0.14799999999999999</v>
      </c>
      <c r="H137" s="186">
        <f t="shared" ref="H137:H139" si="388">IF($D$4,Z137,Q137)</f>
        <v>0.14799999999999999</v>
      </c>
      <c r="I137" s="186">
        <f t="shared" ref="I137:I139" si="389">IF($D$4,AA137,R137)</f>
        <v>0.14799999999999999</v>
      </c>
      <c r="J137" s="186">
        <f t="shared" ref="J137:J139" si="390">IF($D$4,AB137,S137)</f>
        <v>0.14799999999999999</v>
      </c>
      <c r="K137" s="186">
        <f t="shared" ref="K137:K139" si="391">IF($D$4,AC137,T137)</f>
        <v>0.14800000000000002</v>
      </c>
      <c r="L137" s="186">
        <f t="shared" ref="L137:L139" si="392">IF($D$4,AD137,U137)</f>
        <v>0.14800000000000002</v>
      </c>
      <c r="M137" s="186">
        <f t="shared" ref="M137:M138" si="393">IF($D$4,AE137,V137)</f>
        <v>0.14800000000000002</v>
      </c>
      <c r="N137" s="40"/>
      <c r="O137" s="231">
        <f>AVERAGE(E137,P137)</f>
        <v>0.20390257109680254</v>
      </c>
      <c r="P137" s="231">
        <v>0.14799999999999999</v>
      </c>
      <c r="Q137" s="231">
        <f t="shared" ref="Q137:S139" si="394">P137</f>
        <v>0.14799999999999999</v>
      </c>
      <c r="R137" s="231">
        <f t="shared" si="394"/>
        <v>0.14799999999999999</v>
      </c>
      <c r="S137" s="231">
        <f t="shared" si="394"/>
        <v>0.14799999999999999</v>
      </c>
      <c r="T137" s="68">
        <f>1-T138-T139</f>
        <v>0.14800000000000002</v>
      </c>
      <c r="U137" s="68">
        <f>1-U138-U139</f>
        <v>0.14800000000000002</v>
      </c>
      <c r="V137" s="68">
        <f>1-V138-V139</f>
        <v>0.14800000000000002</v>
      </c>
      <c r="X137" s="231">
        <f>O137</f>
        <v>0.20390257109680254</v>
      </c>
      <c r="Y137" s="231">
        <f t="shared" ref="Y137:AB137" si="395">P137</f>
        <v>0.14799999999999999</v>
      </c>
      <c r="Z137" s="231">
        <f t="shared" si="395"/>
        <v>0.14799999999999999</v>
      </c>
      <c r="AA137" s="231">
        <f t="shared" si="395"/>
        <v>0.14799999999999999</v>
      </c>
      <c r="AB137" s="231">
        <f t="shared" si="395"/>
        <v>0.14799999999999999</v>
      </c>
      <c r="AC137" s="68">
        <f>1-AC138-AC139</f>
        <v>0.12199999999999997</v>
      </c>
      <c r="AD137" s="68">
        <f>1-AD138-AD139</f>
        <v>0.10199999999999997</v>
      </c>
      <c r="AE137" s="68">
        <f>1-AE138-AE139</f>
        <v>9.6511330014394436E-2</v>
      </c>
    </row>
    <row r="138" spans="1:47">
      <c r="A138" s="185" t="s">
        <v>16</v>
      </c>
      <c r="C138" s="228" t="s">
        <v>184</v>
      </c>
      <c r="E138" s="67">
        <f>[2]Calib_1011!M72</f>
        <v>0.63065970327402632</v>
      </c>
      <c r="F138" s="186">
        <f t="shared" si="386"/>
        <v>0.70682985163701317</v>
      </c>
      <c r="G138" s="186">
        <f t="shared" si="387"/>
        <v>0.78300000000000003</v>
      </c>
      <c r="H138" s="186">
        <f t="shared" si="388"/>
        <v>0.78300000000000003</v>
      </c>
      <c r="I138" s="186">
        <f t="shared" si="389"/>
        <v>0.78300000000000003</v>
      </c>
      <c r="J138" s="186">
        <f t="shared" si="390"/>
        <v>0.78300000000000003</v>
      </c>
      <c r="K138" s="186">
        <f t="shared" si="391"/>
        <v>0.78300000000000003</v>
      </c>
      <c r="L138" s="186">
        <f t="shared" si="392"/>
        <v>0.78300000000000003</v>
      </c>
      <c r="M138" s="186">
        <f t="shared" si="393"/>
        <v>0.78300000000000003</v>
      </c>
      <c r="N138" s="40"/>
      <c r="O138" s="231">
        <f t="shared" ref="O138" si="396">AVERAGE(E138,P138)</f>
        <v>0.70682985163701317</v>
      </c>
      <c r="P138" s="231">
        <v>0.78300000000000003</v>
      </c>
      <c r="Q138" s="231">
        <f t="shared" si="394"/>
        <v>0.78300000000000003</v>
      </c>
      <c r="R138" s="231">
        <f t="shared" si="394"/>
        <v>0.78300000000000003</v>
      </c>
      <c r="S138" s="231">
        <f t="shared" si="394"/>
        <v>0.78300000000000003</v>
      </c>
      <c r="T138" s="68">
        <f>R138</f>
        <v>0.78300000000000003</v>
      </c>
      <c r="U138" s="68">
        <f>T138</f>
        <v>0.78300000000000003</v>
      </c>
      <c r="V138" s="68">
        <f>U138</f>
        <v>0.78300000000000003</v>
      </c>
      <c r="X138" s="231">
        <f t="shared" ref="X138:X139" si="397">O138</f>
        <v>0.70682985163701317</v>
      </c>
      <c r="Y138" s="231">
        <f t="shared" ref="Y138:Y139" si="398">P138</f>
        <v>0.78300000000000003</v>
      </c>
      <c r="Z138" s="231">
        <f t="shared" ref="Z138:Z139" si="399">Q138</f>
        <v>0.78300000000000003</v>
      </c>
      <c r="AA138" s="231">
        <f t="shared" ref="AA138:AA139" si="400">R138</f>
        <v>0.78300000000000003</v>
      </c>
      <c r="AB138" s="231">
        <f t="shared" ref="AB138:AB139" si="401">S138</f>
        <v>0.78300000000000003</v>
      </c>
      <c r="AC138" s="68">
        <f>AA138</f>
        <v>0.78300000000000003</v>
      </c>
      <c r="AD138" s="68">
        <f>AC138</f>
        <v>0.78300000000000003</v>
      </c>
      <c r="AE138" s="68">
        <f>AD138</f>
        <v>0.78300000000000003</v>
      </c>
    </row>
    <row r="139" spans="1:47">
      <c r="A139" s="185" t="s">
        <v>16</v>
      </c>
      <c r="C139" s="228" t="s">
        <v>186</v>
      </c>
      <c r="E139" s="67">
        <f>[2]Calib_1011!M73</f>
        <v>0.10953515453236866</v>
      </c>
      <c r="F139" s="186">
        <f t="shared" si="386"/>
        <v>8.9267577266184311E-2</v>
      </c>
      <c r="G139" s="186">
        <f t="shared" si="387"/>
        <v>6.899999999999995E-2</v>
      </c>
      <c r="H139" s="186">
        <f t="shared" si="388"/>
        <v>6.899999999999995E-2</v>
      </c>
      <c r="I139" s="186">
        <f t="shared" si="389"/>
        <v>6.899999999999995E-2</v>
      </c>
      <c r="J139" s="186">
        <f t="shared" si="390"/>
        <v>6.899999999999995E-2</v>
      </c>
      <c r="K139" s="186">
        <f t="shared" si="391"/>
        <v>6.899999999999995E-2</v>
      </c>
      <c r="L139" s="186">
        <f t="shared" si="392"/>
        <v>6.899999999999995E-2</v>
      </c>
      <c r="M139" s="186">
        <f>IF($D$4,AE139,V139)</f>
        <v>6.899999999999995E-2</v>
      </c>
      <c r="N139" s="40"/>
      <c r="O139" s="231">
        <f>AVERAGE(E139,P139)</f>
        <v>8.9267577266184311E-2</v>
      </c>
      <c r="P139" s="231">
        <f>1-SUM(R137:R138)</f>
        <v>6.899999999999995E-2</v>
      </c>
      <c r="Q139" s="231">
        <f t="shared" si="394"/>
        <v>6.899999999999995E-2</v>
      </c>
      <c r="R139" s="231">
        <f t="shared" si="394"/>
        <v>6.899999999999995E-2</v>
      </c>
      <c r="S139" s="231">
        <f t="shared" si="394"/>
        <v>6.899999999999995E-2</v>
      </c>
      <c r="T139" s="68">
        <f>R139</f>
        <v>6.899999999999995E-2</v>
      </c>
      <c r="U139" s="68">
        <f>T139</f>
        <v>6.899999999999995E-2</v>
      </c>
      <c r="V139" s="68">
        <f>U139</f>
        <v>6.899999999999995E-2</v>
      </c>
      <c r="X139" s="231">
        <f t="shared" si="397"/>
        <v>8.9267577266184311E-2</v>
      </c>
      <c r="Y139" s="231">
        <f t="shared" si="398"/>
        <v>6.899999999999995E-2</v>
      </c>
      <c r="Z139" s="231">
        <f t="shared" si="399"/>
        <v>6.899999999999995E-2</v>
      </c>
      <c r="AA139" s="231">
        <f t="shared" si="400"/>
        <v>6.899999999999995E-2</v>
      </c>
      <c r="AB139" s="231">
        <f t="shared" si="401"/>
        <v>6.899999999999995E-2</v>
      </c>
      <c r="AC139" s="68">
        <v>9.5000000000000001E-2</v>
      </c>
      <c r="AD139" s="68">
        <v>0.115</v>
      </c>
      <c r="AE139" s="76">
        <f>E139*1.1</f>
        <v>0.12048866998560553</v>
      </c>
    </row>
    <row r="140" spans="1:47">
      <c r="A140" s="185" t="s">
        <v>16</v>
      </c>
      <c r="C140" s="228"/>
      <c r="E140" s="232"/>
      <c r="F140" s="232"/>
      <c r="G140" s="232"/>
      <c r="I140" s="232"/>
      <c r="K140" s="232"/>
      <c r="L140" s="232"/>
      <c r="M140" s="232"/>
      <c r="N140" s="40"/>
    </row>
    <row r="141" spans="1:47" ht="15.75" thickBot="1">
      <c r="A141" s="185" t="s">
        <v>16</v>
      </c>
      <c r="C141" s="227" t="s">
        <v>196</v>
      </c>
      <c r="D141" s="252">
        <f>INDEX($BI$4:$BI$7,MATCH($D$3,$BB$4:$BB$7,0))</f>
        <v>0</v>
      </c>
      <c r="E141" s="232"/>
      <c r="F141" s="232"/>
      <c r="G141" s="232"/>
      <c r="I141" s="232"/>
      <c r="K141" s="232"/>
      <c r="L141" s="232"/>
      <c r="M141" s="232"/>
      <c r="N141" s="40"/>
      <c r="X141" s="185" t="s">
        <v>206</v>
      </c>
    </row>
    <row r="142" spans="1:47">
      <c r="A142" s="185" t="s">
        <v>16</v>
      </c>
      <c r="C142" s="185" t="s">
        <v>62</v>
      </c>
      <c r="D142" s="185" t="s">
        <v>96</v>
      </c>
      <c r="E142" s="244">
        <f>[2]Calib_1011!$K$71</f>
        <v>25</v>
      </c>
      <c r="F142" s="186">
        <f t="shared" ref="F142:F144" si="402">IF($D$4,X142,O142)</f>
        <v>25</v>
      </c>
      <c r="G142" s="186">
        <f t="shared" ref="G142:G144" si="403">IF($D$4,Y142,P142)</f>
        <v>25</v>
      </c>
      <c r="H142" s="186">
        <f t="shared" ref="H142:H144" si="404">IF($D$4,Z142,Q142)</f>
        <v>25</v>
      </c>
      <c r="I142" s="186">
        <f t="shared" ref="I142:I144" si="405">IF($D$4,AA142,R142)</f>
        <v>25</v>
      </c>
      <c r="J142" s="186">
        <f t="shared" ref="J142:J144" si="406">IF($D$4,AB142,S142)</f>
        <v>25</v>
      </c>
      <c r="K142" s="186">
        <f t="shared" ref="K142:K144" si="407">IF($D$4,AC142,T142)</f>
        <v>25</v>
      </c>
      <c r="L142" s="186">
        <f t="shared" ref="L142:L144" si="408">IF($D$4,AD142,U142)</f>
        <v>25</v>
      </c>
      <c r="M142" s="186">
        <f t="shared" ref="M142:M143" si="409">IF($D$4,AE142,V142)</f>
        <v>25</v>
      </c>
      <c r="N142" s="245"/>
      <c r="O142" s="246">
        <f>E142</f>
        <v>25</v>
      </c>
      <c r="P142" s="246">
        <f t="shared" ref="P142:Q143" si="410">O142</f>
        <v>25</v>
      </c>
      <c r="Q142" s="246">
        <f>P142</f>
        <v>25</v>
      </c>
      <c r="R142" s="246">
        <f t="shared" ref="R142:V142" si="411">Q142</f>
        <v>25</v>
      </c>
      <c r="S142" s="246">
        <f t="shared" si="411"/>
        <v>25</v>
      </c>
      <c r="T142" s="60">
        <f t="shared" si="411"/>
        <v>25</v>
      </c>
      <c r="U142" s="60">
        <f t="shared" si="411"/>
        <v>25</v>
      </c>
      <c r="V142" s="60">
        <f t="shared" si="411"/>
        <v>25</v>
      </c>
      <c r="W142" s="247"/>
      <c r="X142" s="246">
        <f>O142</f>
        <v>25</v>
      </c>
      <c r="Y142" s="246">
        <f t="shared" ref="Y142:AB142" si="412">P142</f>
        <v>25</v>
      </c>
      <c r="Z142" s="246">
        <f t="shared" si="412"/>
        <v>25</v>
      </c>
      <c r="AA142" s="246">
        <f t="shared" si="412"/>
        <v>25</v>
      </c>
      <c r="AB142" s="246">
        <f t="shared" si="412"/>
        <v>25</v>
      </c>
      <c r="AC142" s="77">
        <f>AA142*(1+$D$141)</f>
        <v>25</v>
      </c>
      <c r="AD142" s="77">
        <f>AC142*(1+$D$141)</f>
        <v>25</v>
      </c>
      <c r="AE142" s="77">
        <f>AD142*(1+$D$141)</f>
        <v>25</v>
      </c>
      <c r="AF142" s="247"/>
      <c r="AG142" s="247"/>
      <c r="AH142" s="247"/>
      <c r="AI142" s="247"/>
      <c r="AJ142" s="247"/>
      <c r="AK142" s="247"/>
      <c r="AL142" s="247"/>
      <c r="AM142" s="247"/>
      <c r="AN142" s="247"/>
      <c r="AO142" s="247"/>
      <c r="AP142" s="247"/>
      <c r="AQ142" s="247"/>
      <c r="AR142" s="247"/>
      <c r="AS142" s="247"/>
      <c r="AT142" s="247"/>
      <c r="AU142" s="247"/>
    </row>
    <row r="143" spans="1:47">
      <c r="A143" s="185" t="s">
        <v>16</v>
      </c>
      <c r="C143" s="185" t="s">
        <v>184</v>
      </c>
      <c r="D143" s="185" t="s">
        <v>96</v>
      </c>
      <c r="E143" s="244">
        <f>[2]Calib_1011!$K$72</f>
        <v>14</v>
      </c>
      <c r="F143" s="186">
        <f t="shared" si="402"/>
        <v>14</v>
      </c>
      <c r="G143" s="186">
        <f t="shared" si="403"/>
        <v>14</v>
      </c>
      <c r="H143" s="186">
        <f t="shared" si="404"/>
        <v>14</v>
      </c>
      <c r="I143" s="186">
        <f t="shared" si="405"/>
        <v>14</v>
      </c>
      <c r="J143" s="186">
        <f t="shared" si="406"/>
        <v>14</v>
      </c>
      <c r="K143" s="186">
        <f t="shared" si="407"/>
        <v>14</v>
      </c>
      <c r="L143" s="186">
        <f t="shared" si="408"/>
        <v>14</v>
      </c>
      <c r="M143" s="186">
        <f t="shared" si="409"/>
        <v>14</v>
      </c>
      <c r="N143" s="245"/>
      <c r="O143" s="246">
        <f>E143</f>
        <v>14</v>
      </c>
      <c r="P143" s="246">
        <f t="shared" si="410"/>
        <v>14</v>
      </c>
      <c r="Q143" s="246">
        <f t="shared" si="410"/>
        <v>14</v>
      </c>
      <c r="R143" s="246">
        <f t="shared" ref="R143:V143" si="413">Q143</f>
        <v>14</v>
      </c>
      <c r="S143" s="246">
        <f t="shared" si="413"/>
        <v>14</v>
      </c>
      <c r="T143" s="60">
        <f t="shared" si="413"/>
        <v>14</v>
      </c>
      <c r="U143" s="60">
        <f t="shared" si="413"/>
        <v>14</v>
      </c>
      <c r="V143" s="60">
        <f t="shared" si="413"/>
        <v>14</v>
      </c>
      <c r="W143" s="247"/>
      <c r="X143" s="246">
        <f t="shared" ref="X143:X144" si="414">O143</f>
        <v>14</v>
      </c>
      <c r="Y143" s="246">
        <f t="shared" ref="Y143:Y144" si="415">P143</f>
        <v>14</v>
      </c>
      <c r="Z143" s="246">
        <f t="shared" ref="Z143:Z144" si="416">Q143</f>
        <v>14</v>
      </c>
      <c r="AA143" s="246">
        <f t="shared" ref="AA143:AA144" si="417">R143</f>
        <v>14</v>
      </c>
      <c r="AB143" s="246">
        <f t="shared" ref="AB143:AB144" si="418">S143</f>
        <v>14</v>
      </c>
      <c r="AC143" s="77">
        <f>AA143</f>
        <v>14</v>
      </c>
      <c r="AD143" s="77">
        <f>AC143</f>
        <v>14</v>
      </c>
      <c r="AE143" s="77">
        <f>AD143</f>
        <v>14</v>
      </c>
      <c r="AF143" s="247"/>
      <c r="AG143" s="247"/>
      <c r="AH143" s="247"/>
      <c r="AI143" s="247"/>
      <c r="AJ143" s="247"/>
      <c r="AK143" s="247"/>
      <c r="AL143" s="247"/>
      <c r="AM143" s="247"/>
      <c r="AN143" s="247"/>
      <c r="AO143" s="247"/>
      <c r="AP143" s="247"/>
      <c r="AQ143" s="247"/>
      <c r="AR143" s="247"/>
      <c r="AS143" s="247"/>
      <c r="AT143" s="247"/>
      <c r="AU143" s="247"/>
    </row>
    <row r="144" spans="1:47">
      <c r="A144" s="185" t="s">
        <v>16</v>
      </c>
      <c r="C144" s="185" t="s">
        <v>63</v>
      </c>
      <c r="D144" s="185" t="s">
        <v>96</v>
      </c>
      <c r="E144" s="244">
        <f>E142</f>
        <v>25</v>
      </c>
      <c r="F144" s="186">
        <f t="shared" si="402"/>
        <v>25</v>
      </c>
      <c r="G144" s="186">
        <f t="shared" si="403"/>
        <v>25</v>
      </c>
      <c r="H144" s="186">
        <f t="shared" si="404"/>
        <v>25</v>
      </c>
      <c r="I144" s="186">
        <f t="shared" si="405"/>
        <v>25</v>
      </c>
      <c r="J144" s="186">
        <f t="shared" si="406"/>
        <v>25</v>
      </c>
      <c r="K144" s="186">
        <f t="shared" si="407"/>
        <v>25</v>
      </c>
      <c r="L144" s="186">
        <f t="shared" si="408"/>
        <v>25</v>
      </c>
      <c r="M144" s="186">
        <f>IF($D$4,AE144,V144)</f>
        <v>25</v>
      </c>
      <c r="N144" s="245"/>
      <c r="O144" s="246">
        <f>E144</f>
        <v>25</v>
      </c>
      <c r="P144" s="246">
        <f>O144</f>
        <v>25</v>
      </c>
      <c r="Q144" s="246">
        <f t="shared" ref="Q144:V144" si="419">P144</f>
        <v>25</v>
      </c>
      <c r="R144" s="246">
        <f t="shared" si="419"/>
        <v>25</v>
      </c>
      <c r="S144" s="246">
        <f t="shared" si="419"/>
        <v>25</v>
      </c>
      <c r="T144" s="60">
        <f t="shared" si="419"/>
        <v>25</v>
      </c>
      <c r="U144" s="60">
        <f t="shared" si="419"/>
        <v>25</v>
      </c>
      <c r="V144" s="60">
        <f t="shared" si="419"/>
        <v>25</v>
      </c>
      <c r="W144" s="247"/>
      <c r="X144" s="246">
        <f t="shared" si="414"/>
        <v>25</v>
      </c>
      <c r="Y144" s="246">
        <f t="shared" si="415"/>
        <v>25</v>
      </c>
      <c r="Z144" s="246">
        <f t="shared" si="416"/>
        <v>25</v>
      </c>
      <c r="AA144" s="246">
        <f t="shared" si="417"/>
        <v>25</v>
      </c>
      <c r="AB144" s="246">
        <f t="shared" si="418"/>
        <v>25</v>
      </c>
      <c r="AC144" s="77">
        <f>AA144*(1+$D$141)</f>
        <v>25</v>
      </c>
      <c r="AD144" s="77">
        <f>AC144*(1+$D$141)</f>
        <v>25</v>
      </c>
      <c r="AE144" s="77">
        <f>AD144*(1+$D$141)</f>
        <v>25</v>
      </c>
      <c r="AF144" s="247"/>
      <c r="AG144" s="247"/>
      <c r="AH144" s="247"/>
      <c r="AI144" s="247"/>
      <c r="AJ144" s="247"/>
      <c r="AK144" s="247"/>
      <c r="AL144" s="247"/>
      <c r="AM144" s="247"/>
      <c r="AN144" s="247"/>
      <c r="AO144" s="247"/>
      <c r="AP144" s="247"/>
      <c r="AQ144" s="247"/>
      <c r="AR144" s="247"/>
      <c r="AS144" s="247"/>
      <c r="AT144" s="247"/>
      <c r="AU144" s="247"/>
    </row>
    <row r="145" spans="1:47">
      <c r="A145" s="185" t="s">
        <v>16</v>
      </c>
      <c r="C145" s="228"/>
      <c r="E145" s="232"/>
      <c r="F145" s="232"/>
      <c r="G145" s="232"/>
      <c r="I145" s="232"/>
      <c r="K145" s="232"/>
      <c r="L145" s="232"/>
      <c r="M145" s="232"/>
      <c r="N145" s="40"/>
    </row>
    <row r="146" spans="1:47">
      <c r="A146" s="185" t="s">
        <v>16</v>
      </c>
      <c r="L146" s="185"/>
      <c r="N146" s="40"/>
    </row>
    <row r="147" spans="1:47">
      <c r="A147" s="185" t="s">
        <v>16</v>
      </c>
      <c r="E147" s="30"/>
      <c r="F147" s="30"/>
      <c r="G147" s="30"/>
      <c r="I147" s="30"/>
      <c r="K147" s="30"/>
      <c r="L147" s="30"/>
      <c r="M147" s="30"/>
      <c r="N147" s="245"/>
      <c r="O147" s="247" t="str">
        <f>O11</f>
        <v>Reference</v>
      </c>
      <c r="R147" s="247"/>
      <c r="T147" s="247"/>
      <c r="U147" s="247"/>
      <c r="V147" s="247"/>
      <c r="W147" s="247"/>
      <c r="X147" s="247" t="str">
        <f>X11</f>
        <v>Scenario</v>
      </c>
      <c r="AA147" s="247"/>
      <c r="AB147" s="247"/>
      <c r="AD147" s="247"/>
      <c r="AE147" s="247"/>
      <c r="AF147" s="247"/>
      <c r="AN147" s="247"/>
      <c r="AO147" s="247"/>
      <c r="AP147" s="247"/>
      <c r="AQ147" s="247"/>
      <c r="AR147" s="247"/>
      <c r="AS147" s="247"/>
      <c r="AT147" s="247"/>
      <c r="AU147" s="247"/>
    </row>
    <row r="148" spans="1:47" ht="15.75" thickBot="1">
      <c r="A148" s="185" t="s">
        <v>16</v>
      </c>
      <c r="C148" s="227" t="s">
        <v>142</v>
      </c>
      <c r="D148" s="227"/>
      <c r="E148" s="7">
        <v>2012</v>
      </c>
      <c r="F148" s="7">
        <f>F4</f>
        <v>2015</v>
      </c>
      <c r="G148" s="7">
        <f t="shared" ref="G148:M148" si="420">G4</f>
        <v>2017</v>
      </c>
      <c r="H148" s="7">
        <f t="shared" si="420"/>
        <v>2019</v>
      </c>
      <c r="I148" s="7">
        <f t="shared" si="420"/>
        <v>2020</v>
      </c>
      <c r="J148" s="7">
        <f t="shared" si="420"/>
        <v>2021</v>
      </c>
      <c r="K148" s="7">
        <f t="shared" si="420"/>
        <v>2030</v>
      </c>
      <c r="L148" s="7">
        <f t="shared" si="420"/>
        <v>2040</v>
      </c>
      <c r="M148" s="7">
        <f t="shared" si="420"/>
        <v>2050</v>
      </c>
      <c r="N148" s="245"/>
      <c r="O148" s="298">
        <f>O$12</f>
        <v>2015</v>
      </c>
      <c r="P148" s="298">
        <f t="shared" ref="P148:V148" si="421">P$12</f>
        <v>2017</v>
      </c>
      <c r="Q148" s="298">
        <f t="shared" si="421"/>
        <v>2019</v>
      </c>
      <c r="R148" s="298">
        <f t="shared" si="421"/>
        <v>2020</v>
      </c>
      <c r="S148" s="298">
        <f t="shared" si="421"/>
        <v>2021</v>
      </c>
      <c r="T148" s="298">
        <f t="shared" si="421"/>
        <v>2030</v>
      </c>
      <c r="U148" s="298">
        <f t="shared" si="421"/>
        <v>2040</v>
      </c>
      <c r="V148" s="298">
        <f t="shared" si="421"/>
        <v>2050</v>
      </c>
      <c r="W148" s="247"/>
      <c r="X148" s="298">
        <f>X$12</f>
        <v>2015</v>
      </c>
      <c r="Y148" s="298">
        <f t="shared" ref="Y148:AE148" si="422">Y$12</f>
        <v>2017</v>
      </c>
      <c r="Z148" s="298">
        <f t="shared" si="422"/>
        <v>2019</v>
      </c>
      <c r="AA148" s="298">
        <f t="shared" si="422"/>
        <v>2020</v>
      </c>
      <c r="AB148" s="298">
        <f t="shared" si="422"/>
        <v>2021</v>
      </c>
      <c r="AC148" s="298">
        <f t="shared" si="422"/>
        <v>2030</v>
      </c>
      <c r="AD148" s="298">
        <f t="shared" si="422"/>
        <v>2040</v>
      </c>
      <c r="AE148" s="298">
        <f t="shared" si="422"/>
        <v>2050</v>
      </c>
      <c r="AF148" s="247"/>
      <c r="AN148" s="247"/>
      <c r="AO148" s="247"/>
      <c r="AP148" s="247"/>
      <c r="AQ148" s="247"/>
      <c r="AR148" s="247"/>
      <c r="AS148" s="247"/>
      <c r="AT148" s="247"/>
      <c r="AU148" s="247"/>
    </row>
    <row r="149" spans="1:47">
      <c r="A149" s="185" t="s">
        <v>16</v>
      </c>
      <c r="B149" s="185" t="s">
        <v>128</v>
      </c>
      <c r="C149" s="185" t="s">
        <v>102</v>
      </c>
      <c r="D149" s="185" t="s">
        <v>86</v>
      </c>
      <c r="E149" s="300">
        <f t="shared" ref="E149" si="423">E132*E$111</f>
        <v>81.484814157071753</v>
      </c>
      <c r="F149" s="50">
        <f t="shared" ref="F149:F156" si="424">IF($D$4,X149,O149)</f>
        <v>89.101204723506044</v>
      </c>
      <c r="G149" s="50">
        <f t="shared" ref="G149:G156" si="425">IF($D$4,Y149,P149)</f>
        <v>93.525978660206817</v>
      </c>
      <c r="H149" s="50">
        <f t="shared" ref="H149:H156" si="426">IF($D$4,Z149,Q149)</f>
        <v>97.842472415001637</v>
      </c>
      <c r="I149" s="50">
        <f t="shared" ref="I149:I156" si="427">IF($D$4,AA149,R149)</f>
        <v>93.746622585597407</v>
      </c>
      <c r="J149" s="50">
        <f t="shared" ref="J149:J156" si="428">IF($D$4,AB149,S149)</f>
        <v>94.284516099271045</v>
      </c>
      <c r="K149" s="50">
        <f t="shared" ref="K149:K156" si="429">IF($D$4,AC149,T149)</f>
        <v>120.51309082508857</v>
      </c>
      <c r="L149" s="50">
        <f t="shared" ref="L149:L156" si="430">IF($D$4,AD149,U149)</f>
        <v>159.42735199452704</v>
      </c>
      <c r="M149" s="50">
        <f t="shared" ref="M149:M156" si="431">IF($D$4,AE149,V149)</f>
        <v>201.47652123005676</v>
      </c>
      <c r="N149" s="248" t="str">
        <f t="shared" ref="N149:N156" si="432">C149</f>
        <v>Car Priv.Veh. Vehicle km</v>
      </c>
      <c r="O149" s="233">
        <f>O132*O$111</f>
        <v>89.101204723506044</v>
      </c>
      <c r="P149" s="233">
        <f t="shared" ref="P149:S149" si="433">P132*P$111</f>
        <v>93.525978660206817</v>
      </c>
      <c r="Q149" s="233">
        <f>Q132*Q$111</f>
        <v>97.842472415001637</v>
      </c>
      <c r="R149" s="233">
        <f t="shared" si="433"/>
        <v>93.746622585597407</v>
      </c>
      <c r="S149" s="233">
        <f t="shared" si="433"/>
        <v>94.284516099271045</v>
      </c>
      <c r="T149" s="306">
        <f t="shared" ref="T149:V151" si="434">T132*T$111</f>
        <v>120.51309082508857</v>
      </c>
      <c r="U149" s="306">
        <f t="shared" si="434"/>
        <v>159.42735199452704</v>
      </c>
      <c r="V149" s="306">
        <f t="shared" si="434"/>
        <v>201.47652123005676</v>
      </c>
      <c r="W149" s="233"/>
      <c r="X149" s="233">
        <f>O149</f>
        <v>89.101204723506044</v>
      </c>
      <c r="Y149" s="233">
        <f t="shared" ref="Y149:AB149" si="435">P149</f>
        <v>93.525978660206817</v>
      </c>
      <c r="Z149" s="233">
        <f t="shared" si="435"/>
        <v>97.842472415001637</v>
      </c>
      <c r="AA149" s="233">
        <f t="shared" si="435"/>
        <v>93.746622585597407</v>
      </c>
      <c r="AB149" s="233">
        <f t="shared" si="435"/>
        <v>94.284516099271045</v>
      </c>
      <c r="AC149" s="233" t="e">
        <f t="shared" ref="AC149:AE151" si="436">AC161/AC$36</f>
        <v>#N/A</v>
      </c>
      <c r="AD149" s="233" t="e">
        <f t="shared" si="436"/>
        <v>#N/A</v>
      </c>
      <c r="AE149" s="233" t="e">
        <f t="shared" si="436"/>
        <v>#N/A</v>
      </c>
      <c r="AF149" s="233"/>
      <c r="AG149" s="233"/>
      <c r="AH149" s="233"/>
      <c r="AN149" s="233"/>
      <c r="AO149" s="233"/>
      <c r="AP149" s="233"/>
      <c r="AQ149" s="233"/>
      <c r="AR149" s="233"/>
      <c r="AS149" s="233"/>
      <c r="AT149" s="233"/>
      <c r="AU149" s="233"/>
    </row>
    <row r="150" spans="1:47">
      <c r="A150" s="185" t="s">
        <v>16</v>
      </c>
      <c r="B150" s="185" t="s">
        <v>127</v>
      </c>
      <c r="C150" s="185" t="s">
        <v>101</v>
      </c>
      <c r="D150" s="185" t="s">
        <v>86</v>
      </c>
      <c r="E150" s="300">
        <f t="shared" ref="E150" si="437">E133*E$111</f>
        <v>9.3562062912418789</v>
      </c>
      <c r="F150" s="50">
        <f t="shared" si="424"/>
        <v>10.230731465918778</v>
      </c>
      <c r="G150" s="50">
        <f t="shared" si="425"/>
        <v>10.69044815578722</v>
      </c>
      <c r="H150" s="50">
        <f t="shared" si="426"/>
        <v>11.183843182083237</v>
      </c>
      <c r="I150" s="50">
        <f t="shared" si="427"/>
        <v>10.715668768060601</v>
      </c>
      <c r="J150" s="50">
        <f t="shared" si="428"/>
        <v>10.777152462790532</v>
      </c>
      <c r="K150" s="50">
        <f t="shared" si="429"/>
        <v>13.775198805884775</v>
      </c>
      <c r="L150" s="50">
        <f t="shared" si="430"/>
        <v>18.223277270415711</v>
      </c>
      <c r="M150" s="50">
        <f t="shared" si="431"/>
        <v>23.029690099727446</v>
      </c>
      <c r="N150" s="248" t="str">
        <f t="shared" si="432"/>
        <v>SUV Priv.Veh. Vehicle km</v>
      </c>
      <c r="O150" s="233">
        <f>O133*O$111</f>
        <v>10.230731465918778</v>
      </c>
      <c r="P150" s="233">
        <f t="shared" ref="P150:S150" si="438">P133*P$111</f>
        <v>10.69044815578722</v>
      </c>
      <c r="Q150" s="233">
        <f t="shared" si="438"/>
        <v>11.183843182083237</v>
      </c>
      <c r="R150" s="233">
        <f t="shared" si="438"/>
        <v>10.715668768060601</v>
      </c>
      <c r="S150" s="233">
        <f t="shared" si="438"/>
        <v>10.777152462790532</v>
      </c>
      <c r="T150" s="306">
        <f t="shared" si="434"/>
        <v>13.775198805884775</v>
      </c>
      <c r="U150" s="306">
        <f t="shared" si="434"/>
        <v>18.223277270415711</v>
      </c>
      <c r="V150" s="306">
        <f t="shared" si="434"/>
        <v>23.029690099727446</v>
      </c>
      <c r="W150" s="233"/>
      <c r="X150" s="233">
        <f t="shared" ref="X150:X156" si="439">O150</f>
        <v>10.230731465918778</v>
      </c>
      <c r="Y150" s="233">
        <f t="shared" ref="Y150:Y156" si="440">P150</f>
        <v>10.69044815578722</v>
      </c>
      <c r="Z150" s="233">
        <f t="shared" ref="Z150:Z156" si="441">Q150</f>
        <v>11.183843182083237</v>
      </c>
      <c r="AA150" s="233">
        <f t="shared" ref="AA150:AA156" si="442">R150</f>
        <v>10.715668768060601</v>
      </c>
      <c r="AB150" s="233">
        <f t="shared" ref="AB150:AB156" si="443">S150</f>
        <v>10.777152462790532</v>
      </c>
      <c r="AC150" s="233" t="e">
        <f t="shared" si="436"/>
        <v>#N/A</v>
      </c>
      <c r="AD150" s="233" t="e">
        <f t="shared" si="436"/>
        <v>#N/A</v>
      </c>
      <c r="AE150" s="233" t="e">
        <f t="shared" si="436"/>
        <v>#N/A</v>
      </c>
      <c r="AF150" s="241"/>
      <c r="AN150" s="233"/>
      <c r="AO150" s="233"/>
      <c r="AP150" s="233"/>
      <c r="AQ150" s="233"/>
      <c r="AR150" s="233"/>
      <c r="AS150" s="233"/>
      <c r="AT150" s="233"/>
      <c r="AU150" s="233"/>
    </row>
    <row r="151" spans="1:47">
      <c r="A151" s="185" t="s">
        <v>16</v>
      </c>
      <c r="B151" s="185" t="s">
        <v>183</v>
      </c>
      <c r="C151" s="185" t="s">
        <v>187</v>
      </c>
      <c r="D151" s="185" t="s">
        <v>86</v>
      </c>
      <c r="E151" s="300">
        <f>E134*E$111</f>
        <v>3.1893877916903843</v>
      </c>
      <c r="F151" s="50">
        <f t="shared" si="424"/>
        <v>3.0845830875962057</v>
      </c>
      <c r="G151" s="50">
        <f t="shared" si="425"/>
        <v>3.2231884582266197</v>
      </c>
      <c r="H151" s="50">
        <f t="shared" si="426"/>
        <v>3.3719479050644807</v>
      </c>
      <c r="I151" s="50">
        <f t="shared" si="427"/>
        <v>3.2307925160925155</v>
      </c>
      <c r="J151" s="50">
        <f t="shared" si="428"/>
        <v>3.2493299555276773</v>
      </c>
      <c r="K151" s="50">
        <f t="shared" si="429"/>
        <v>4.1532460710610311</v>
      </c>
      <c r="L151" s="50">
        <f t="shared" si="430"/>
        <v>5.4943493587095693</v>
      </c>
      <c r="M151" s="50">
        <f t="shared" si="431"/>
        <v>6.9434910720551821</v>
      </c>
      <c r="N151" s="248" t="str">
        <f t="shared" si="432"/>
        <v>Motorbikes Priv.Veh. Vehicle km</v>
      </c>
      <c r="O151" s="233">
        <f>O134*O$111</f>
        <v>3.0845830875962057</v>
      </c>
      <c r="P151" s="233">
        <f t="shared" ref="P151:S151" si="444">P134*P$111</f>
        <v>3.2231884582266197</v>
      </c>
      <c r="Q151" s="233">
        <f t="shared" si="444"/>
        <v>3.3719479050644807</v>
      </c>
      <c r="R151" s="233">
        <f t="shared" si="444"/>
        <v>3.2307925160925155</v>
      </c>
      <c r="S151" s="233">
        <f t="shared" si="444"/>
        <v>3.2493299555276773</v>
      </c>
      <c r="T151" s="306">
        <f t="shared" si="434"/>
        <v>4.1532460710610311</v>
      </c>
      <c r="U151" s="306">
        <f t="shared" si="434"/>
        <v>5.4943493587095693</v>
      </c>
      <c r="V151" s="306">
        <f t="shared" si="434"/>
        <v>6.9434910720551821</v>
      </c>
      <c r="W151" s="233"/>
      <c r="X151" s="233">
        <f t="shared" si="439"/>
        <v>3.0845830875962057</v>
      </c>
      <c r="Y151" s="233">
        <f t="shared" si="440"/>
        <v>3.2231884582266197</v>
      </c>
      <c r="Z151" s="233">
        <f t="shared" si="441"/>
        <v>3.3719479050644807</v>
      </c>
      <c r="AA151" s="233">
        <f t="shared" si="442"/>
        <v>3.2307925160925155</v>
      </c>
      <c r="AB151" s="233">
        <f t="shared" si="443"/>
        <v>3.2493299555276773</v>
      </c>
      <c r="AC151" s="233" t="e">
        <f t="shared" si="436"/>
        <v>#N/A</v>
      </c>
      <c r="AD151" s="233" t="e">
        <f t="shared" si="436"/>
        <v>#N/A</v>
      </c>
      <c r="AE151" s="233" t="e">
        <f t="shared" si="436"/>
        <v>#N/A</v>
      </c>
      <c r="AF151" s="233"/>
      <c r="AG151" s="233"/>
      <c r="AH151" s="233"/>
      <c r="AJ151" s="247"/>
      <c r="AK151" s="233"/>
      <c r="AL151" s="233"/>
      <c r="AM151" s="233"/>
      <c r="AN151" s="233"/>
      <c r="AO151" s="233"/>
      <c r="AP151" s="233"/>
      <c r="AQ151" s="233"/>
      <c r="AR151" s="233"/>
      <c r="AS151" s="233"/>
      <c r="AT151" s="233"/>
      <c r="AU151" s="233"/>
    </row>
    <row r="152" spans="1:47">
      <c r="A152" s="185" t="s">
        <v>16</v>
      </c>
      <c r="B152" s="185" t="s">
        <v>129</v>
      </c>
      <c r="C152" s="185" t="s">
        <v>87</v>
      </c>
      <c r="D152" s="185" t="s">
        <v>86</v>
      </c>
      <c r="E152" s="300">
        <v>0.61799148971758899</v>
      </c>
      <c r="F152" s="50">
        <f t="shared" si="424"/>
        <v>1.1005748482544424</v>
      </c>
      <c r="G152" s="50">
        <f t="shared" si="425"/>
        <v>0.76110381500636504</v>
      </c>
      <c r="H152" s="50">
        <f t="shared" si="426"/>
        <v>0.77888333294641976</v>
      </c>
      <c r="I152" s="50">
        <f t="shared" si="427"/>
        <v>0.80526146705118407</v>
      </c>
      <c r="J152" s="50">
        <f t="shared" si="428"/>
        <v>0.79864085897196158</v>
      </c>
      <c r="K152" s="50">
        <f t="shared" si="429"/>
        <v>0.81217078242076668</v>
      </c>
      <c r="L152" s="50">
        <f t="shared" si="430"/>
        <v>0.7627627587623087</v>
      </c>
      <c r="M152" s="50">
        <f t="shared" si="431"/>
        <v>0.68714843924917279</v>
      </c>
      <c r="N152" s="248" t="str">
        <f t="shared" si="432"/>
        <v>Bus vehicle km</v>
      </c>
      <c r="O152" s="233">
        <f>O137*O$129/O142</f>
        <v>1.1005748482544424</v>
      </c>
      <c r="P152" s="233">
        <f t="shared" ref="P152:S152" si="445">P137*P$129/P142</f>
        <v>0.76110381500636504</v>
      </c>
      <c r="Q152" s="233">
        <f t="shared" si="445"/>
        <v>0.77888333294641976</v>
      </c>
      <c r="R152" s="233">
        <f t="shared" si="445"/>
        <v>0.80526146705118407</v>
      </c>
      <c r="S152" s="233">
        <f t="shared" si="445"/>
        <v>0.79864085897196158</v>
      </c>
      <c r="T152" s="306">
        <f t="shared" ref="T152:V153" si="446">T137*T$129/T142</f>
        <v>0.81217078242076668</v>
      </c>
      <c r="U152" s="306">
        <f t="shared" si="446"/>
        <v>0.7627627587623087</v>
      </c>
      <c r="V152" s="306">
        <f t="shared" si="446"/>
        <v>0.68714843924917279</v>
      </c>
      <c r="W152" s="233"/>
      <c r="X152" s="233">
        <f t="shared" si="439"/>
        <v>1.1005748482544424</v>
      </c>
      <c r="Y152" s="233">
        <f t="shared" si="440"/>
        <v>0.76110381500636504</v>
      </c>
      <c r="Z152" s="233">
        <f t="shared" si="441"/>
        <v>0.77888333294641976</v>
      </c>
      <c r="AA152" s="233">
        <f t="shared" si="442"/>
        <v>0.80526146705118407</v>
      </c>
      <c r="AB152" s="233">
        <f t="shared" si="443"/>
        <v>0.79864085897196158</v>
      </c>
      <c r="AC152" s="233" t="e">
        <f>AC164/AC142</f>
        <v>#N/A</v>
      </c>
      <c r="AD152" s="233" t="e">
        <f t="shared" ref="AD152:AE152" si="447">AD164/AD142</f>
        <v>#N/A</v>
      </c>
      <c r="AE152" s="233" t="e">
        <f t="shared" si="447"/>
        <v>#N/A</v>
      </c>
      <c r="AF152" s="233"/>
      <c r="AG152" s="233"/>
      <c r="AH152" s="233"/>
      <c r="AJ152" s="247"/>
      <c r="AK152" s="233"/>
      <c r="AL152" s="233"/>
      <c r="AM152" s="233"/>
      <c r="AN152" s="233"/>
      <c r="AO152" s="233"/>
      <c r="AP152" s="233"/>
      <c r="AQ152" s="233"/>
      <c r="AR152" s="233"/>
      <c r="AS152" s="233"/>
      <c r="AT152" s="233"/>
      <c r="AU152" s="233"/>
    </row>
    <row r="153" spans="1:47">
      <c r="A153" s="185" t="s">
        <v>16</v>
      </c>
      <c r="B153" s="185" t="s">
        <v>130</v>
      </c>
      <c r="C153" s="185" t="s">
        <v>88</v>
      </c>
      <c r="D153" s="185" t="s">
        <v>86</v>
      </c>
      <c r="E153" s="300">
        <f t="shared" ref="E153" si="448">E138*E$129/E143</f>
        <v>5.9130328062411968</v>
      </c>
      <c r="F153" s="50">
        <f t="shared" si="424"/>
        <v>6.8127701567981385</v>
      </c>
      <c r="G153" s="333">
        <f t="shared" si="425"/>
        <v>7.1904474800915041</v>
      </c>
      <c r="H153" s="333">
        <f t="shared" si="426"/>
        <v>7.3584175880435181</v>
      </c>
      <c r="I153" s="50">
        <f t="shared" si="427"/>
        <v>7.6076222092311436</v>
      </c>
      <c r="J153" s="50">
        <f t="shared" si="428"/>
        <v>7.5450747173630077</v>
      </c>
      <c r="K153" s="50">
        <f t="shared" si="429"/>
        <v>7.6728972325707065</v>
      </c>
      <c r="L153" s="50">
        <f t="shared" si="430"/>
        <v>7.2061201750831048</v>
      </c>
      <c r="M153" s="50">
        <f t="shared" si="431"/>
        <v>6.4917619200301919</v>
      </c>
      <c r="N153" s="248" t="str">
        <f t="shared" si="432"/>
        <v>Minibus vehicle km</v>
      </c>
      <c r="O153" s="233">
        <f>O138*O$129/O143</f>
        <v>6.8127701567981385</v>
      </c>
      <c r="P153" s="233">
        <f t="shared" ref="P153:S153" si="449">P138*P$129/P143</f>
        <v>7.1904474800915041</v>
      </c>
      <c r="Q153" s="233">
        <f t="shared" si="449"/>
        <v>7.3584175880435181</v>
      </c>
      <c r="R153" s="233">
        <f t="shared" si="449"/>
        <v>7.6076222092311436</v>
      </c>
      <c r="S153" s="233">
        <f t="shared" si="449"/>
        <v>7.5450747173630077</v>
      </c>
      <c r="T153" s="306">
        <f t="shared" si="446"/>
        <v>7.6728972325707065</v>
      </c>
      <c r="U153" s="306">
        <f t="shared" si="446"/>
        <v>7.2061201750831048</v>
      </c>
      <c r="V153" s="306">
        <f t="shared" si="446"/>
        <v>6.4917619200301919</v>
      </c>
      <c r="W153" s="233"/>
      <c r="X153" s="233">
        <f t="shared" si="439"/>
        <v>6.8127701567981385</v>
      </c>
      <c r="Y153" s="233">
        <f t="shared" si="440"/>
        <v>7.1904474800915041</v>
      </c>
      <c r="Z153" s="233">
        <f t="shared" si="441"/>
        <v>7.3584175880435181</v>
      </c>
      <c r="AA153" s="233">
        <f t="shared" si="442"/>
        <v>7.6076222092311436</v>
      </c>
      <c r="AB153" s="233">
        <f t="shared" si="443"/>
        <v>7.5450747173630077</v>
      </c>
      <c r="AC153" s="233" t="e">
        <f>AC165/AC143</f>
        <v>#N/A</v>
      </c>
      <c r="AD153" s="233" t="e">
        <f t="shared" ref="AD153:AE153" si="450">AD165/AD143</f>
        <v>#N/A</v>
      </c>
      <c r="AE153" s="233" t="e">
        <f t="shared" si="450"/>
        <v>#N/A</v>
      </c>
      <c r="AF153" s="233"/>
      <c r="AG153" s="233"/>
      <c r="AH153" s="233"/>
      <c r="AJ153" s="233"/>
      <c r="AK153" s="233"/>
      <c r="AL153" s="233"/>
      <c r="AM153" s="233"/>
      <c r="AN153" s="233"/>
      <c r="AO153" s="233"/>
      <c r="AP153" s="233"/>
      <c r="AQ153" s="233"/>
      <c r="AR153" s="233"/>
      <c r="AS153" s="233"/>
      <c r="AT153" s="233"/>
      <c r="AU153" s="233"/>
    </row>
    <row r="154" spans="1:47">
      <c r="A154" s="185" t="s">
        <v>16</v>
      </c>
      <c r="B154" s="185" t="s">
        <v>131</v>
      </c>
      <c r="C154" s="185" t="s">
        <v>89</v>
      </c>
      <c r="D154" s="185" t="s">
        <v>86</v>
      </c>
      <c r="E154" s="300">
        <f t="shared" ref="E154" si="451">E$127/E144</f>
        <v>2.1087604842955274E-2</v>
      </c>
      <c r="F154" s="50">
        <f t="shared" si="424"/>
        <v>3.1269715527094177E-2</v>
      </c>
      <c r="G154" s="50">
        <f t="shared" si="425"/>
        <v>6.2919830609995675E-2</v>
      </c>
      <c r="H154" s="50">
        <f t="shared" si="426"/>
        <v>0.10155968711451488</v>
      </c>
      <c r="I154" s="50">
        <f t="shared" si="427"/>
        <v>0.10425069329756113</v>
      </c>
      <c r="J154" s="50">
        <f t="shared" si="428"/>
        <v>0.29374525410217339</v>
      </c>
      <c r="K154" s="50">
        <f t="shared" si="429"/>
        <v>0.56778336073069768</v>
      </c>
      <c r="L154" s="50">
        <f t="shared" si="430"/>
        <v>1.0794151821685656</v>
      </c>
      <c r="M154" s="50">
        <f t="shared" si="431"/>
        <v>1.5545745187505957</v>
      </c>
      <c r="N154" s="248" t="str">
        <f t="shared" si="432"/>
        <v>BRT vehicle km</v>
      </c>
      <c r="O154" s="233">
        <f>O$127/O144</f>
        <v>3.1269715527094177E-2</v>
      </c>
      <c r="P154" s="233">
        <f t="shared" ref="P154:S154" si="452">P$127/P144</f>
        <v>6.2919830609995675E-2</v>
      </c>
      <c r="Q154" s="233">
        <f t="shared" si="452"/>
        <v>0.10155968711451488</v>
      </c>
      <c r="R154" s="233">
        <f t="shared" si="452"/>
        <v>0.10425069329756113</v>
      </c>
      <c r="S154" s="233">
        <f t="shared" si="452"/>
        <v>0.29374525410217339</v>
      </c>
      <c r="T154" s="306">
        <f>T$127/T144</f>
        <v>0.56778336073069768</v>
      </c>
      <c r="U154" s="306">
        <f>U$127/U144</f>
        <v>1.0794151821685656</v>
      </c>
      <c r="V154" s="306">
        <f>V$127/V144</f>
        <v>1.5545745187505957</v>
      </c>
      <c r="W154" s="233"/>
      <c r="X154" s="233">
        <f t="shared" si="439"/>
        <v>3.1269715527094177E-2</v>
      </c>
      <c r="Y154" s="233">
        <f t="shared" si="440"/>
        <v>6.2919830609995675E-2</v>
      </c>
      <c r="Z154" s="233">
        <f t="shared" si="441"/>
        <v>0.10155968711451488</v>
      </c>
      <c r="AA154" s="233">
        <f t="shared" si="442"/>
        <v>0.10425069329756113</v>
      </c>
      <c r="AB154" s="233">
        <f t="shared" si="443"/>
        <v>0.29374525410217339</v>
      </c>
      <c r="AC154" s="233" t="e">
        <f>AC166/AC144</f>
        <v>#N/A</v>
      </c>
      <c r="AD154" s="233" t="e">
        <f t="shared" ref="AD154" si="453">AD166/AD144</f>
        <v>#N/A</v>
      </c>
      <c r="AE154" s="233" t="e">
        <f>AE166/AE144</f>
        <v>#N/A</v>
      </c>
      <c r="AF154" s="233"/>
      <c r="AG154" s="233"/>
      <c r="AH154" s="233"/>
      <c r="AJ154" s="233"/>
      <c r="AK154" s="233"/>
      <c r="AL154" s="233"/>
      <c r="AM154" s="233"/>
      <c r="AN154" s="233"/>
      <c r="AO154" s="233"/>
      <c r="AP154" s="233"/>
      <c r="AQ154" s="233"/>
      <c r="AR154" s="233"/>
      <c r="AS154" s="233"/>
      <c r="AT154" s="233"/>
      <c r="AU154" s="233"/>
    </row>
    <row r="155" spans="1:47">
      <c r="A155" s="185" t="s">
        <v>16</v>
      </c>
      <c r="B155" s="185" t="s">
        <v>132</v>
      </c>
      <c r="C155" s="185" t="s">
        <v>90</v>
      </c>
      <c r="D155" s="185" t="str">
        <f>D154</f>
        <v>billion</v>
      </c>
      <c r="E155" s="300">
        <f>E139*E$129</f>
        <v>14.377943324329372</v>
      </c>
      <c r="F155" s="50">
        <f t="shared" si="424"/>
        <v>12.045661044795077</v>
      </c>
      <c r="G155" s="50">
        <f t="shared" si="425"/>
        <v>8.8709735194998576</v>
      </c>
      <c r="H155" s="50">
        <f t="shared" si="426"/>
        <v>9.0782010090038749</v>
      </c>
      <c r="I155" s="50">
        <f t="shared" si="427"/>
        <v>9.3856488558330522</v>
      </c>
      <c r="J155" s="50">
        <f t="shared" si="428"/>
        <v>9.3084829846394115</v>
      </c>
      <c r="K155" s="50">
        <f t="shared" si="429"/>
        <v>9.4661797275393322</v>
      </c>
      <c r="L155" s="50">
        <f t="shared" si="430"/>
        <v>8.8903091815201449</v>
      </c>
      <c r="M155" s="50">
        <f t="shared" si="431"/>
        <v>8.0089936331406903</v>
      </c>
      <c r="N155" s="248" t="str">
        <f t="shared" si="432"/>
        <v>Metro Rail pkm</v>
      </c>
      <c r="O155" s="233">
        <f>O139*O$129</f>
        <v>12.045661044795077</v>
      </c>
      <c r="P155" s="233">
        <f t="shared" ref="P155:S155" si="454">P139*P$129</f>
        <v>8.8709735194998576</v>
      </c>
      <c r="Q155" s="233">
        <f t="shared" si="454"/>
        <v>9.0782010090038749</v>
      </c>
      <c r="R155" s="233">
        <f t="shared" si="454"/>
        <v>9.3856488558330522</v>
      </c>
      <c r="S155" s="233">
        <f t="shared" si="454"/>
        <v>9.3084829846394115</v>
      </c>
      <c r="T155" s="306">
        <f>T139*T$129</f>
        <v>9.4661797275393322</v>
      </c>
      <c r="U155" s="306">
        <f>U139*U$129</f>
        <v>8.8903091815201449</v>
      </c>
      <c r="V155" s="306">
        <f>V139*V$129</f>
        <v>8.0089936331406903</v>
      </c>
      <c r="W155" s="233"/>
      <c r="X155" s="233">
        <f t="shared" si="439"/>
        <v>12.045661044795077</v>
      </c>
      <c r="Y155" s="233">
        <f t="shared" si="440"/>
        <v>8.8709735194998576</v>
      </c>
      <c r="Z155" s="233">
        <f t="shared" si="441"/>
        <v>9.0782010090038749</v>
      </c>
      <c r="AA155" s="233">
        <f t="shared" si="442"/>
        <v>9.3856488558330522</v>
      </c>
      <c r="AB155" s="233">
        <f t="shared" si="443"/>
        <v>9.3084829846394115</v>
      </c>
      <c r="AC155" s="233" t="e">
        <f t="shared" ref="AC155:AE156" si="455">AC167</f>
        <v>#N/A</v>
      </c>
      <c r="AD155" s="233" t="e">
        <f t="shared" si="455"/>
        <v>#N/A</v>
      </c>
      <c r="AE155" s="233" t="e">
        <f t="shared" si="455"/>
        <v>#N/A</v>
      </c>
      <c r="AF155" s="233"/>
      <c r="AG155" s="233"/>
      <c r="AH155" s="233"/>
      <c r="AJ155" s="233"/>
      <c r="AK155" s="233"/>
      <c r="AL155" s="233"/>
      <c r="AM155" s="233"/>
      <c r="AN155" s="233"/>
      <c r="AO155" s="233"/>
      <c r="AP155" s="233"/>
      <c r="AQ155" s="233"/>
      <c r="AR155" s="233"/>
      <c r="AS155" s="233"/>
      <c r="AT155" s="233"/>
      <c r="AU155" s="233"/>
    </row>
    <row r="156" spans="1:47">
      <c r="A156" s="185" t="s">
        <v>16</v>
      </c>
      <c r="B156" s="185" t="s">
        <v>133</v>
      </c>
      <c r="C156" s="185" t="s">
        <v>91</v>
      </c>
      <c r="D156" s="185" t="s">
        <v>86</v>
      </c>
      <c r="E156" s="300">
        <f t="shared" ref="E156" si="456">E128</f>
        <v>0.53452578037785492</v>
      </c>
      <c r="F156" s="50">
        <f t="shared" si="424"/>
        <v>0.58840536503250629</v>
      </c>
      <c r="G156" s="50">
        <f t="shared" si="425"/>
        <v>0.62462624083765128</v>
      </c>
      <c r="H156" s="50">
        <f t="shared" si="426"/>
        <v>0.67226296980162004</v>
      </c>
      <c r="I156" s="50">
        <f t="shared" si="427"/>
        <v>0.64616666359533781</v>
      </c>
      <c r="J156" s="50">
        <f t="shared" si="428"/>
        <v>0.64672402075743496</v>
      </c>
      <c r="K156" s="50">
        <f t="shared" si="429"/>
        <v>0.82430505614031691</v>
      </c>
      <c r="L156" s="50">
        <f t="shared" si="430"/>
        <v>1.0556620991476746</v>
      </c>
      <c r="M156" s="50">
        <f t="shared" si="431"/>
        <v>1.2746406348095956</v>
      </c>
      <c r="N156" s="248" t="str">
        <f t="shared" si="432"/>
        <v>Gautrain pkm</v>
      </c>
      <c r="O156" s="233">
        <f>O128</f>
        <v>0.58840536503250629</v>
      </c>
      <c r="P156" s="233">
        <f t="shared" ref="P156:S156" si="457">P128</f>
        <v>0.62462624083765128</v>
      </c>
      <c r="Q156" s="233">
        <f t="shared" si="457"/>
        <v>0.67226296980162004</v>
      </c>
      <c r="R156" s="233">
        <f t="shared" si="457"/>
        <v>0.64616666359533781</v>
      </c>
      <c r="S156" s="233">
        <f t="shared" si="457"/>
        <v>0.64672402075743496</v>
      </c>
      <c r="T156" s="306">
        <f>T128</f>
        <v>0.82430505614031691</v>
      </c>
      <c r="U156" s="306">
        <f>U128</f>
        <v>1.0556620991476746</v>
      </c>
      <c r="V156" s="306">
        <f>V128</f>
        <v>1.2746406348095956</v>
      </c>
      <c r="W156" s="233"/>
      <c r="X156" s="233">
        <f t="shared" si="439"/>
        <v>0.58840536503250629</v>
      </c>
      <c r="Y156" s="233">
        <f t="shared" si="440"/>
        <v>0.62462624083765128</v>
      </c>
      <c r="Z156" s="233">
        <f t="shared" si="441"/>
        <v>0.67226296980162004</v>
      </c>
      <c r="AA156" s="233">
        <f t="shared" si="442"/>
        <v>0.64616666359533781</v>
      </c>
      <c r="AB156" s="233">
        <f t="shared" si="443"/>
        <v>0.64672402075743496</v>
      </c>
      <c r="AC156" s="233" t="e">
        <f t="shared" si="455"/>
        <v>#N/A</v>
      </c>
      <c r="AD156" s="233" t="e">
        <f t="shared" si="455"/>
        <v>#N/A</v>
      </c>
      <c r="AE156" s="233" t="e">
        <f t="shared" si="455"/>
        <v>#N/A</v>
      </c>
      <c r="AF156" s="233"/>
      <c r="AG156" s="233"/>
      <c r="AH156" s="233"/>
      <c r="AJ156" s="233"/>
      <c r="AK156" s="233"/>
      <c r="AL156" s="233"/>
      <c r="AM156" s="233"/>
      <c r="AN156" s="233"/>
      <c r="AO156" s="233"/>
      <c r="AP156" s="233"/>
      <c r="AQ156" s="233"/>
      <c r="AR156" s="233"/>
      <c r="AS156" s="233"/>
      <c r="AT156" s="233"/>
      <c r="AU156" s="233"/>
    </row>
    <row r="157" spans="1:47">
      <c r="A157" s="185" t="s">
        <v>16</v>
      </c>
      <c r="L157" s="185"/>
      <c r="N157" s="40"/>
      <c r="AI157" s="185" t="s">
        <v>629</v>
      </c>
    </row>
    <row r="158" spans="1:47">
      <c r="A158" s="185" t="s">
        <v>16</v>
      </c>
      <c r="L158" s="185"/>
      <c r="N158" s="40"/>
      <c r="X158" s="274"/>
      <c r="AA158" s="274"/>
      <c r="AB158" s="274"/>
      <c r="AD158" s="274"/>
      <c r="AI158" s="185" t="s">
        <v>619</v>
      </c>
      <c r="AM158" s="185" t="s">
        <v>624</v>
      </c>
      <c r="AQ158" s="185" t="s">
        <v>625</v>
      </c>
    </row>
    <row r="159" spans="1:47" ht="15.75" thickBot="1">
      <c r="A159" s="185" t="s">
        <v>16</v>
      </c>
      <c r="E159" s="247"/>
      <c r="L159" s="185"/>
      <c r="N159" s="40"/>
      <c r="O159" s="185" t="s">
        <v>41</v>
      </c>
      <c r="T159" s="10"/>
      <c r="X159" s="185" t="s">
        <v>197</v>
      </c>
      <c r="AB159" s="10"/>
      <c r="AI159" s="251">
        <v>1</v>
      </c>
      <c r="AJ159" s="251">
        <v>1</v>
      </c>
      <c r="AK159" s="251">
        <v>1</v>
      </c>
      <c r="AL159" s="251"/>
      <c r="AM159" s="251">
        <v>2</v>
      </c>
      <c r="AN159" s="251">
        <v>2</v>
      </c>
      <c r="AO159" s="251">
        <v>2</v>
      </c>
      <c r="AQ159" s="251">
        <v>3</v>
      </c>
      <c r="AR159" s="251">
        <v>3</v>
      </c>
      <c r="AS159" s="251">
        <v>3</v>
      </c>
    </row>
    <row r="160" spans="1:47" ht="15.75" thickBot="1">
      <c r="A160" s="185" t="s">
        <v>16</v>
      </c>
      <c r="C160" s="227" t="s">
        <v>141</v>
      </c>
      <c r="D160" s="227"/>
      <c r="E160" s="7">
        <v>2012</v>
      </c>
      <c r="F160" s="7">
        <f>F4</f>
        <v>2015</v>
      </c>
      <c r="G160" s="7">
        <f t="shared" ref="G160:M160" si="458">G4</f>
        <v>2017</v>
      </c>
      <c r="H160" s="7">
        <f t="shared" si="458"/>
        <v>2019</v>
      </c>
      <c r="I160" s="7">
        <f t="shared" si="458"/>
        <v>2020</v>
      </c>
      <c r="J160" s="7">
        <f t="shared" si="458"/>
        <v>2021</v>
      </c>
      <c r="K160" s="7">
        <f t="shared" si="458"/>
        <v>2030</v>
      </c>
      <c r="L160" s="7">
        <f t="shared" si="458"/>
        <v>2040</v>
      </c>
      <c r="M160" s="7">
        <f t="shared" si="458"/>
        <v>2050</v>
      </c>
      <c r="O160" s="298">
        <f>O$12</f>
        <v>2015</v>
      </c>
      <c r="P160" s="298">
        <f t="shared" ref="P160:V160" si="459">P$12</f>
        <v>2017</v>
      </c>
      <c r="Q160" s="298">
        <f t="shared" si="459"/>
        <v>2019</v>
      </c>
      <c r="R160" s="298">
        <f t="shared" si="459"/>
        <v>2020</v>
      </c>
      <c r="S160" s="298">
        <f t="shared" si="459"/>
        <v>2021</v>
      </c>
      <c r="T160" s="298">
        <f t="shared" si="459"/>
        <v>2030</v>
      </c>
      <c r="U160" s="298">
        <f t="shared" si="459"/>
        <v>2040</v>
      </c>
      <c r="V160" s="298">
        <f t="shared" si="459"/>
        <v>2050</v>
      </c>
      <c r="X160" s="298">
        <f>X$12</f>
        <v>2015</v>
      </c>
      <c r="Y160" s="298">
        <f t="shared" ref="Y160:AE160" si="460">Y$12</f>
        <v>2017</v>
      </c>
      <c r="Z160" s="298">
        <f t="shared" si="460"/>
        <v>2019</v>
      </c>
      <c r="AA160" s="298">
        <f t="shared" si="460"/>
        <v>2020</v>
      </c>
      <c r="AB160" s="298">
        <f t="shared" si="460"/>
        <v>2021</v>
      </c>
      <c r="AC160" s="298">
        <f t="shared" si="460"/>
        <v>2030</v>
      </c>
      <c r="AD160" s="298">
        <f t="shared" si="460"/>
        <v>2040</v>
      </c>
      <c r="AE160" s="298">
        <f t="shared" si="460"/>
        <v>2050</v>
      </c>
      <c r="AI160" s="251">
        <v>2030</v>
      </c>
      <c r="AJ160" s="251">
        <v>2040</v>
      </c>
      <c r="AK160" s="251">
        <v>2050</v>
      </c>
      <c r="AL160" s="251"/>
      <c r="AM160" s="251">
        <v>2030</v>
      </c>
      <c r="AN160" s="251">
        <v>2040</v>
      </c>
      <c r="AO160" s="251">
        <v>2050</v>
      </c>
      <c r="AQ160" s="251">
        <v>2030</v>
      </c>
      <c r="AR160" s="251">
        <v>2040</v>
      </c>
      <c r="AS160" s="251">
        <v>2050</v>
      </c>
    </row>
    <row r="161" spans="1:46">
      <c r="A161" s="185" t="s">
        <v>16</v>
      </c>
      <c r="B161" s="185" t="s">
        <v>128</v>
      </c>
      <c r="C161" s="185" t="s">
        <v>100</v>
      </c>
      <c r="D161" s="185" t="s">
        <v>86</v>
      </c>
      <c r="E161" s="300">
        <f>SUMPRODUCT(E$35:E$38,E$41:E$44,E$54:E$57)*E132</f>
        <v>114.07873981990045</v>
      </c>
      <c r="F161" s="50">
        <f t="shared" ref="F161:F168" si="461">IF($D$4,X161,O161)</f>
        <v>124.74168661290844</v>
      </c>
      <c r="G161" s="50">
        <f t="shared" ref="G161:G168" si="462">IF($D$4,Y161,P161)</f>
        <v>130.93637012428951</v>
      </c>
      <c r="H161" s="50">
        <f t="shared" ref="H161:H168" si="463">IF($D$4,Z161,Q161)</f>
        <v>136.97946138100227</v>
      </c>
      <c r="I161" s="50">
        <f t="shared" ref="I161:I168" si="464">IF($D$4,AA161,R161)</f>
        <v>131.24527161983636</v>
      </c>
      <c r="J161" s="50">
        <f t="shared" ref="J161:J168" si="465">IF($D$4,AB161,S161)</f>
        <v>131.99832253897941</v>
      </c>
      <c r="K161" s="50">
        <f t="shared" ref="K161:K168" si="466">IF($D$4,AC161,T161)</f>
        <v>168.71832715512397</v>
      </c>
      <c r="L161" s="50">
        <f t="shared" ref="L161:L168" si="467">IF($D$4,AD161,U161)</f>
        <v>223.19829279233778</v>
      </c>
      <c r="M161" s="50">
        <f t="shared" ref="M161:M168" si="468">IF($D$4,AE161,V161)</f>
        <v>282.06712972207947</v>
      </c>
      <c r="N161" s="185" t="str">
        <f t="shared" ref="N161:N168" si="469">C161</f>
        <v>Car</v>
      </c>
      <c r="O161" s="10">
        <f>SUMPRODUCT(O$35:O$38,O$41:O$44,O$54:O$57)*O132</f>
        <v>124.74168661290844</v>
      </c>
      <c r="P161" s="10">
        <f t="shared" ref="P161:S161" si="470">SUMPRODUCT(P$35:P$38,P$41:P$44,P$54:P$57)*P132</f>
        <v>130.93637012428951</v>
      </c>
      <c r="Q161" s="10">
        <f t="shared" si="470"/>
        <v>136.97946138100227</v>
      </c>
      <c r="R161" s="10">
        <f t="shared" si="470"/>
        <v>131.24527161983636</v>
      </c>
      <c r="S161" s="10">
        <f t="shared" si="470"/>
        <v>131.99832253897941</v>
      </c>
      <c r="T161" s="308">
        <f t="shared" ref="T161:V163" si="471">SUMPRODUCT(T$35:T$38,T$41:T$44,T$54:T$57)*T132</f>
        <v>168.71832715512397</v>
      </c>
      <c r="U161" s="308">
        <f t="shared" si="471"/>
        <v>223.19829279233778</v>
      </c>
      <c r="V161" s="308">
        <f t="shared" si="471"/>
        <v>282.06712972207947</v>
      </c>
      <c r="X161" s="10">
        <f>O161</f>
        <v>124.74168661290844</v>
      </c>
      <c r="Y161" s="10">
        <f t="shared" ref="Y161:AB161" si="472">P161</f>
        <v>130.93637012428951</v>
      </c>
      <c r="Z161" s="10">
        <f t="shared" si="472"/>
        <v>136.97946138100227</v>
      </c>
      <c r="AA161" s="10">
        <f t="shared" si="472"/>
        <v>131.24527161983636</v>
      </c>
      <c r="AB161" s="10">
        <f t="shared" si="472"/>
        <v>131.99832253897941</v>
      </c>
      <c r="AC161" s="312" t="e" cm="1">
        <f t="array" ref="AC161">T161*INDEX($AI$161:$AS$168,MATCH($C161,$C$161:$C$168,0),MATCH(AC$160&amp;$D$3,$AI$160:$AS$160&amp;$AI$159:$AS$159,0))</f>
        <v>#N/A</v>
      </c>
      <c r="AD161" s="312" t="e">
        <f t="array" ref="AD161">U161*INDEX($AI$161:$AS$168,MATCH($C161,$C$161:$C$168,0),MATCH(AD$160&amp;$D$3,$AI$160:$AS$160&amp;$AI$159:$AS$159,0))</f>
        <v>#N/A</v>
      </c>
      <c r="AE161" s="312" t="e" cm="1">
        <f t="array" ref="AE161">V161*INDEX($AI$161:$AS$168,MATCH($C161,$C$161:$C$168,0),MATCH(AE$160&amp;$D$3,$AI$160:$AS$160&amp;$AI$159:$AS$159,0))</f>
        <v>#N/A</v>
      </c>
      <c r="AI161" s="233">
        <v>0.8</v>
      </c>
      <c r="AJ161" s="233">
        <f>AVERAGE(AI161,AK161)</f>
        <v>0.8</v>
      </c>
      <c r="AK161" s="233">
        <v>0.8</v>
      </c>
      <c r="AL161" s="247"/>
      <c r="AM161" s="233">
        <f>AVERAGE(1,1,AO161)</f>
        <v>0.93333333333333324</v>
      </c>
      <c r="AN161" s="233">
        <f>AVERAGE(AM161,AO161)</f>
        <v>0.8666666666666667</v>
      </c>
      <c r="AO161" s="233">
        <v>0.8</v>
      </c>
      <c r="AQ161" s="233">
        <v>0.8</v>
      </c>
      <c r="AR161" s="233">
        <f>AVERAGE(AS161,AQ161)</f>
        <v>0.75</v>
      </c>
      <c r="AS161" s="233">
        <v>0.7</v>
      </c>
    </row>
    <row r="162" spans="1:46">
      <c r="A162" s="185" t="s">
        <v>16</v>
      </c>
      <c r="B162" s="185" t="s">
        <v>127</v>
      </c>
      <c r="C162" s="185" t="s">
        <v>99</v>
      </c>
      <c r="D162" s="185" t="s">
        <v>86</v>
      </c>
      <c r="E162" s="300">
        <f t="shared" ref="E162:E163" si="473">SUMPRODUCT(E$35:E$38,E$41:E$44,E$54:E$57)*E133</f>
        <v>13.098688807738631</v>
      </c>
      <c r="F162" s="50">
        <f t="shared" si="461"/>
        <v>14.323024052286286</v>
      </c>
      <c r="G162" s="50">
        <f t="shared" si="462"/>
        <v>14.966627418102105</v>
      </c>
      <c r="H162" s="50">
        <f t="shared" si="463"/>
        <v>15.657380454916529</v>
      </c>
      <c r="I162" s="50">
        <f t="shared" si="464"/>
        <v>15.001936275284839</v>
      </c>
      <c r="J162" s="50">
        <f t="shared" si="465"/>
        <v>15.088013447906739</v>
      </c>
      <c r="K162" s="50">
        <f t="shared" si="466"/>
        <v>19.285278328238682</v>
      </c>
      <c r="L162" s="50">
        <f t="shared" si="467"/>
        <v>25.512588178581986</v>
      </c>
      <c r="M162" s="50">
        <f t="shared" si="468"/>
        <v>32.241566139618421</v>
      </c>
      <c r="N162" s="185" t="str">
        <f t="shared" si="469"/>
        <v>SUV</v>
      </c>
      <c r="O162" s="10">
        <f>SUMPRODUCT(O$35:O$38,O$41:O$44,O$54:O$57)*O133</f>
        <v>14.323024052286286</v>
      </c>
      <c r="P162" s="10">
        <f t="shared" ref="P162:S162" si="474">SUMPRODUCT(P$35:P$38,P$41:P$44,P$54:P$57)*P133</f>
        <v>14.966627418102105</v>
      </c>
      <c r="Q162" s="10">
        <f t="shared" si="474"/>
        <v>15.657380454916529</v>
      </c>
      <c r="R162" s="10">
        <f t="shared" si="474"/>
        <v>15.001936275284839</v>
      </c>
      <c r="S162" s="10">
        <f t="shared" si="474"/>
        <v>15.088013447906739</v>
      </c>
      <c r="T162" s="308">
        <f t="shared" si="471"/>
        <v>19.285278328238682</v>
      </c>
      <c r="U162" s="308">
        <f t="shared" si="471"/>
        <v>25.512588178581986</v>
      </c>
      <c r="V162" s="308">
        <f>SUMPRODUCT(V$35:V$38,V$41:V$44,V$54:V$57)*V133</f>
        <v>32.241566139618421</v>
      </c>
      <c r="X162" s="10">
        <f t="shared" ref="X162:X168" si="475">O162</f>
        <v>14.323024052286286</v>
      </c>
      <c r="Y162" s="10">
        <f t="shared" ref="Y162:Y168" si="476">P162</f>
        <v>14.966627418102105</v>
      </c>
      <c r="Z162" s="10">
        <f t="shared" ref="Z162:Z168" si="477">Q162</f>
        <v>15.657380454916529</v>
      </c>
      <c r="AA162" s="10">
        <f t="shared" ref="AA162:AA168" si="478">R162</f>
        <v>15.001936275284839</v>
      </c>
      <c r="AB162" s="10">
        <f t="shared" ref="AB162:AB168" si="479">S162</f>
        <v>15.088013447906739</v>
      </c>
      <c r="AC162" s="312" t="e">
        <f t="array" ref="AC162">T162*INDEX($AI$161:$AS$168,MATCH($C162,$C$161:$C$168,0),MATCH(AC$160&amp;$D$3,$AI$160:$AS$160&amp;$AI$159:$AS$159,0))</f>
        <v>#N/A</v>
      </c>
      <c r="AD162" s="312" t="e">
        <f t="array" ref="AD162">U162*INDEX($AI$161:$AS$168,MATCH($C162,$C$161:$C$168,0),MATCH(AD$160&amp;$D$3,$AI$160:$AS$160&amp;$AI$159:$AS$159,0))</f>
        <v>#N/A</v>
      </c>
      <c r="AE162" s="312" t="e">
        <f t="array" ref="AE162">V162*INDEX($AI$161:$AS$168,MATCH($C162,$C$161:$C$168,0),MATCH(AE$160&amp;$D$3,$AI$160:$AS$160&amp;$AI$159:$AS$159,0))</f>
        <v>#N/A</v>
      </c>
      <c r="AI162" s="233">
        <f>AI161</f>
        <v>0.8</v>
      </c>
      <c r="AJ162" s="233">
        <f t="shared" ref="AJ162:AK162" si="480">AJ161</f>
        <v>0.8</v>
      </c>
      <c r="AK162" s="233">
        <f t="shared" si="480"/>
        <v>0.8</v>
      </c>
      <c r="AL162" s="247"/>
      <c r="AM162" s="233">
        <f>AM161</f>
        <v>0.93333333333333324</v>
      </c>
      <c r="AN162" s="233">
        <f t="shared" ref="AN162:AO162" si="481">AN161</f>
        <v>0.8666666666666667</v>
      </c>
      <c r="AO162" s="233">
        <f t="shared" si="481"/>
        <v>0.8</v>
      </c>
      <c r="AQ162" s="233">
        <f>AQ161</f>
        <v>0.8</v>
      </c>
      <c r="AR162" s="233">
        <f t="shared" ref="AR162:AS162" si="482">AR161</f>
        <v>0.75</v>
      </c>
      <c r="AS162" s="233">
        <f t="shared" si="482"/>
        <v>0.7</v>
      </c>
    </row>
    <row r="163" spans="1:46">
      <c r="A163" s="185" t="s">
        <v>16</v>
      </c>
      <c r="B163" s="185" t="s">
        <v>183</v>
      </c>
      <c r="C163" s="185" t="s">
        <v>212</v>
      </c>
      <c r="D163" s="185" t="s">
        <v>86</v>
      </c>
      <c r="E163" s="300">
        <f t="shared" si="473"/>
        <v>4.4651429083665386</v>
      </c>
      <c r="F163" s="50">
        <f t="shared" si="461"/>
        <v>4.3184163226346879</v>
      </c>
      <c r="G163" s="50">
        <f t="shared" si="462"/>
        <v>4.512463841517266</v>
      </c>
      <c r="H163" s="50">
        <f t="shared" si="463"/>
        <v>4.7207270670902721</v>
      </c>
      <c r="I163" s="50">
        <f t="shared" si="464"/>
        <v>4.5231095225295217</v>
      </c>
      <c r="J163" s="50">
        <f t="shared" si="465"/>
        <v>4.5490619377387471</v>
      </c>
      <c r="K163" s="50">
        <f t="shared" si="466"/>
        <v>5.8145444994854429</v>
      </c>
      <c r="L163" s="50">
        <f t="shared" si="467"/>
        <v>7.6920891021933953</v>
      </c>
      <c r="M163" s="50">
        <f t="shared" si="468"/>
        <v>9.7208875008772537</v>
      </c>
      <c r="N163" s="185" t="str">
        <f t="shared" si="469"/>
        <v>Motorbike</v>
      </c>
      <c r="O163" s="10">
        <f>SUMPRODUCT(O$35:O$38,O$41:O$44,O$54:O$57)*O134</f>
        <v>4.3184163226346879</v>
      </c>
      <c r="P163" s="10">
        <f t="shared" ref="P163:S163" si="483">SUMPRODUCT(P$35:P$38,P$41:P$44,P$54:P$57)*P134</f>
        <v>4.512463841517266</v>
      </c>
      <c r="Q163" s="10">
        <f t="shared" si="483"/>
        <v>4.7207270670902721</v>
      </c>
      <c r="R163" s="10">
        <f t="shared" si="483"/>
        <v>4.5231095225295217</v>
      </c>
      <c r="S163" s="10">
        <f t="shared" si="483"/>
        <v>4.5490619377387471</v>
      </c>
      <c r="T163" s="308">
        <f t="shared" si="471"/>
        <v>5.8145444994854429</v>
      </c>
      <c r="U163" s="308">
        <f t="shared" si="471"/>
        <v>7.6920891021933953</v>
      </c>
      <c r="V163" s="308">
        <f t="shared" si="471"/>
        <v>9.7208875008772537</v>
      </c>
      <c r="X163" s="10">
        <f t="shared" si="475"/>
        <v>4.3184163226346879</v>
      </c>
      <c r="Y163" s="10">
        <f t="shared" si="476"/>
        <v>4.512463841517266</v>
      </c>
      <c r="Z163" s="10">
        <f t="shared" si="477"/>
        <v>4.7207270670902721</v>
      </c>
      <c r="AA163" s="10">
        <f t="shared" si="478"/>
        <v>4.5231095225295217</v>
      </c>
      <c r="AB163" s="10">
        <f t="shared" si="479"/>
        <v>4.5490619377387471</v>
      </c>
      <c r="AC163" s="312" t="e">
        <f t="array" ref="AC163">T163*INDEX($AI$161:$AS$168,MATCH($C163,$C$161:$C$168,0),MATCH(AC$160&amp;$D$3,$AI$160:$AS$160&amp;$AI$159:$AS$159,0))</f>
        <v>#N/A</v>
      </c>
      <c r="AD163" s="312" t="e">
        <f t="array" ref="AD163">U163*INDEX($AI$161:$AS$168,MATCH($C163,$C$161:$C$168,0),MATCH(AD$160&amp;$D$3,$AI$160:$AS$160&amp;$AI$159:$AS$159,0))</f>
        <v>#N/A</v>
      </c>
      <c r="AE163" s="312" t="e">
        <f t="array" ref="AE163">V163*INDEX($AI$161:$AS$168,MATCH($C163,$C$161:$C$168,0),MATCH(AE$160&amp;$D$3,$AI$160:$AS$160&amp;$AI$159:$AS$159,0))</f>
        <v>#N/A</v>
      </c>
      <c r="AI163" s="247">
        <v>1</v>
      </c>
      <c r="AJ163" s="247">
        <v>1</v>
      </c>
      <c r="AK163" s="247">
        <v>1</v>
      </c>
      <c r="AL163" s="247"/>
      <c r="AM163" s="247">
        <v>1</v>
      </c>
      <c r="AN163" s="247">
        <v>1</v>
      </c>
      <c r="AO163" s="247">
        <v>1</v>
      </c>
      <c r="AP163" s="247"/>
      <c r="AQ163" s="247">
        <v>1</v>
      </c>
      <c r="AR163" s="247">
        <v>1</v>
      </c>
      <c r="AS163" s="247">
        <v>1</v>
      </c>
    </row>
    <row r="164" spans="1:46">
      <c r="A164" s="185" t="s">
        <v>16</v>
      </c>
      <c r="B164" s="185" t="s">
        <v>129</v>
      </c>
      <c r="C164" s="185" t="s">
        <v>62</v>
      </c>
      <c r="D164" s="185" t="s">
        <v>86</v>
      </c>
      <c r="E164" s="300">
        <f t="shared" ref="E164:E166" si="484">E152*E142</f>
        <v>15.449787242939724</v>
      </c>
      <c r="F164" s="50">
        <f t="shared" si="461"/>
        <v>27.514371206361059</v>
      </c>
      <c r="G164" s="50">
        <f t="shared" si="462"/>
        <v>19.027595375159127</v>
      </c>
      <c r="H164" s="50">
        <f t="shared" si="463"/>
        <v>19.472083323660495</v>
      </c>
      <c r="I164" s="50">
        <f t="shared" si="464"/>
        <v>20.131536676279602</v>
      </c>
      <c r="J164" s="50">
        <f t="shared" si="465"/>
        <v>19.966021474299041</v>
      </c>
      <c r="K164" s="50">
        <f t="shared" si="466"/>
        <v>20.304269560519167</v>
      </c>
      <c r="L164" s="50">
        <f t="shared" si="467"/>
        <v>19.069068969057717</v>
      </c>
      <c r="M164" s="50">
        <f t="shared" si="468"/>
        <v>17.178710981229319</v>
      </c>
      <c r="N164" s="185" t="str">
        <f t="shared" si="469"/>
        <v>Bus</v>
      </c>
      <c r="O164" s="10">
        <f>O152*O142</f>
        <v>27.514371206361059</v>
      </c>
      <c r="P164" s="10">
        <f t="shared" ref="P164:S164" si="485">P152*P142</f>
        <v>19.027595375159127</v>
      </c>
      <c r="Q164" s="10">
        <f t="shared" si="485"/>
        <v>19.472083323660495</v>
      </c>
      <c r="R164" s="10">
        <f t="shared" si="485"/>
        <v>20.131536676279602</v>
      </c>
      <c r="S164" s="10">
        <f t="shared" si="485"/>
        <v>19.966021474299041</v>
      </c>
      <c r="T164" s="308">
        <f t="shared" ref="T164:V166" si="486">T152*T142</f>
        <v>20.304269560519167</v>
      </c>
      <c r="U164" s="308">
        <f t="shared" si="486"/>
        <v>19.069068969057717</v>
      </c>
      <c r="V164" s="308">
        <f t="shared" si="486"/>
        <v>17.178710981229319</v>
      </c>
      <c r="X164" s="10">
        <f t="shared" si="475"/>
        <v>27.514371206361059</v>
      </c>
      <c r="Y164" s="10">
        <f t="shared" si="476"/>
        <v>19.027595375159127</v>
      </c>
      <c r="Z164" s="10">
        <f t="shared" si="477"/>
        <v>19.472083323660495</v>
      </c>
      <c r="AA164" s="10">
        <f t="shared" si="478"/>
        <v>20.131536676279602</v>
      </c>
      <c r="AB164" s="10">
        <f t="shared" si="479"/>
        <v>19.966021474299041</v>
      </c>
      <c r="AC164" s="312" t="e">
        <f t="array" ref="AC164">T164+INDEX($AI$161:$AS$168,MATCH($C164,$C$161:$C$168,0),MATCH(AC$160&amp;$D$3,$AI$160:$AS$160&amp;$AI$159:$AS$159,0))</f>
        <v>#N/A</v>
      </c>
      <c r="AD164" s="312" t="e">
        <f t="array" ref="AD164">U164+INDEX($AI$161:$AS$168,MATCH($C164,$C$161:$C$168,0),MATCH(AD$160&amp;$D$3,$AI$160:$AS$160&amp;$AI$159:$AS$159,0))</f>
        <v>#N/A</v>
      </c>
      <c r="AE164" s="312" t="e">
        <f t="array" ref="AE164">V164+INDEX($AI$161:$AS$168,MATCH($C164,$C$161:$C$168,0),MATCH(AE$160&amp;$D$3,$AI$160:$AS$160&amp;$AI$159:$AS$159,0))</f>
        <v>#N/A</v>
      </c>
      <c r="AI164" s="10">
        <f t="shared" ref="AI164:AK168" si="487">SUM(T$161:T$162)*(1-AI$161) *AI175</f>
        <v>5.0158050082845351</v>
      </c>
      <c r="AJ164" s="10">
        <f t="shared" si="487"/>
        <v>6.635432757693545</v>
      </c>
      <c r="AK164" s="10">
        <f t="shared" si="487"/>
        <v>8.3855366858376463</v>
      </c>
      <c r="AL164" s="10"/>
      <c r="AM164" s="10">
        <f t="shared" ref="AM164:AO168" si="488">SUM(T$161:T$162)*(1-AM$161) *AM175</f>
        <v>1.6719350027615147</v>
      </c>
      <c r="AN164" s="10">
        <f t="shared" si="488"/>
        <v>4.4236218384623633</v>
      </c>
      <c r="AO164" s="10">
        <f t="shared" si="488"/>
        <v>8.3855366858376463</v>
      </c>
      <c r="AP164" s="10"/>
      <c r="AQ164" s="10">
        <f t="shared" ref="AQ164:AS168" si="489">SUM(T$161:T$162)*(1-AQ$161) *AQ175</f>
        <v>5.0158050082845351</v>
      </c>
      <c r="AR164" s="10">
        <f t="shared" si="489"/>
        <v>8.2942909471169326</v>
      </c>
      <c r="AS164" s="10">
        <f t="shared" si="489"/>
        <v>12.578305028756475</v>
      </c>
    </row>
    <row r="165" spans="1:46">
      <c r="A165" s="185" t="s">
        <v>16</v>
      </c>
      <c r="B165" s="185" t="s">
        <v>130</v>
      </c>
      <c r="C165" s="185" t="s">
        <v>61</v>
      </c>
      <c r="D165" s="185" t="s">
        <v>86</v>
      </c>
      <c r="E165" s="300">
        <f t="shared" si="484"/>
        <v>82.782459287376753</v>
      </c>
      <c r="F165" s="50">
        <f t="shared" si="461"/>
        <v>95.37878219517394</v>
      </c>
      <c r="G165" s="50">
        <f t="shared" si="462"/>
        <v>100.66626472128105</v>
      </c>
      <c r="H165" s="50">
        <f t="shared" si="463"/>
        <v>103.01784623260926</v>
      </c>
      <c r="I165" s="50">
        <f t="shared" si="464"/>
        <v>106.50671092923601</v>
      </c>
      <c r="J165" s="50">
        <f t="shared" si="465"/>
        <v>105.63104604308211</v>
      </c>
      <c r="K165" s="50">
        <f t="shared" si="466"/>
        <v>107.4205612559899</v>
      </c>
      <c r="L165" s="50">
        <f t="shared" si="467"/>
        <v>100.88568245116346</v>
      </c>
      <c r="M165" s="50">
        <f t="shared" si="468"/>
        <v>90.884666880422685</v>
      </c>
      <c r="N165" s="185" t="str">
        <f t="shared" si="469"/>
        <v>Minibus</v>
      </c>
      <c r="O165" s="10">
        <f>O153*O143</f>
        <v>95.37878219517394</v>
      </c>
      <c r="P165" s="10">
        <f t="shared" ref="P165:S165" si="490">P153*P143</f>
        <v>100.66626472128105</v>
      </c>
      <c r="Q165" s="10">
        <f t="shared" si="490"/>
        <v>103.01784623260926</v>
      </c>
      <c r="R165" s="10">
        <f t="shared" si="490"/>
        <v>106.50671092923601</v>
      </c>
      <c r="S165" s="10">
        <f t="shared" si="490"/>
        <v>105.63104604308211</v>
      </c>
      <c r="T165" s="308">
        <f t="shared" si="486"/>
        <v>107.4205612559899</v>
      </c>
      <c r="U165" s="308">
        <f t="shared" si="486"/>
        <v>100.88568245116346</v>
      </c>
      <c r="V165" s="308">
        <f t="shared" si="486"/>
        <v>90.884666880422685</v>
      </c>
      <c r="X165" s="10">
        <f t="shared" si="475"/>
        <v>95.37878219517394</v>
      </c>
      <c r="Y165" s="10">
        <f t="shared" si="476"/>
        <v>100.66626472128105</v>
      </c>
      <c r="Z165" s="10">
        <f t="shared" si="477"/>
        <v>103.01784623260926</v>
      </c>
      <c r="AA165" s="10">
        <f t="shared" si="478"/>
        <v>106.50671092923601</v>
      </c>
      <c r="AB165" s="10">
        <f t="shared" si="479"/>
        <v>105.63104604308211</v>
      </c>
      <c r="AC165" s="312" t="e">
        <f t="array" ref="AC165">T165+INDEX($AI$161:$AS$168,MATCH($C165,$C$161:$C$168,0),MATCH(AC$160&amp;$D$3,$AI$160:$AS$160&amp;$AI$159:$AS$159,0))</f>
        <v>#N/A</v>
      </c>
      <c r="AD165" s="312" t="e">
        <f t="array" ref="AD165">U165+INDEX($AI$161:$AS$168,MATCH($C165,$C$161:$C$168,0),MATCH(AD$160&amp;$D$3,$AI$160:$AS$160&amp;$AI$159:$AS$159,0))</f>
        <v>#N/A</v>
      </c>
      <c r="AE165" s="312" t="e" cm="1">
        <f t="array" ref="AE165">V165+INDEX($AI$161:$AS$168,MATCH($C165,$C$161:$C$168,0),MATCH(AE$160&amp;$D$3,$AI$160:$AS$160&amp;$AI$159:$AS$159,0))</f>
        <v>#N/A</v>
      </c>
      <c r="AI165" s="10">
        <f t="shared" si="487"/>
        <v>26.53631973977561</v>
      </c>
      <c r="AJ165" s="10">
        <f t="shared" si="487"/>
        <v>35.105026008608405</v>
      </c>
      <c r="AK165" s="10">
        <f t="shared" si="487"/>
        <v>44.364021790614025</v>
      </c>
      <c r="AL165" s="10"/>
      <c r="AM165" s="10">
        <f t="shared" si="488"/>
        <v>8.8454399132585522</v>
      </c>
      <c r="AN165" s="10">
        <f t="shared" si="488"/>
        <v>23.403350672405608</v>
      </c>
      <c r="AO165" s="10">
        <f t="shared" si="488"/>
        <v>44.364021790614025</v>
      </c>
      <c r="AP165" s="10"/>
      <c r="AQ165" s="10">
        <f t="shared" si="489"/>
        <v>26.53631973977561</v>
      </c>
      <c r="AR165" s="10">
        <f t="shared" si="489"/>
        <v>43.881282510760521</v>
      </c>
      <c r="AS165" s="10">
        <f t="shared" si="489"/>
        <v>66.546032685921062</v>
      </c>
    </row>
    <row r="166" spans="1:46">
      <c r="A166" s="185" t="s">
        <v>16</v>
      </c>
      <c r="B166" s="185" t="s">
        <v>131</v>
      </c>
      <c r="C166" s="185" t="s">
        <v>63</v>
      </c>
      <c r="D166" s="185" t="s">
        <v>86</v>
      </c>
      <c r="E166" s="300">
        <f t="shared" si="484"/>
        <v>0.52719012107388186</v>
      </c>
      <c r="F166" s="50">
        <f t="shared" si="461"/>
        <v>0.78174288817735449</v>
      </c>
      <c r="G166" s="50">
        <f t="shared" si="462"/>
        <v>1.5729957652498918</v>
      </c>
      <c r="H166" s="50">
        <f t="shared" si="463"/>
        <v>2.5389921778628719</v>
      </c>
      <c r="I166" s="50">
        <f t="shared" si="464"/>
        <v>2.6062673324390282</v>
      </c>
      <c r="J166" s="50">
        <f t="shared" si="465"/>
        <v>7.3436313525543344</v>
      </c>
      <c r="K166" s="50">
        <f t="shared" si="466"/>
        <v>14.194584018267442</v>
      </c>
      <c r="L166" s="50">
        <f t="shared" si="467"/>
        <v>26.985379554214141</v>
      </c>
      <c r="M166" s="50">
        <f t="shared" si="468"/>
        <v>38.864362968764894</v>
      </c>
      <c r="N166" s="185" t="str">
        <f t="shared" si="469"/>
        <v>BRT</v>
      </c>
      <c r="O166" s="10">
        <f>O154*O144</f>
        <v>0.78174288817735449</v>
      </c>
      <c r="P166" s="10">
        <f t="shared" ref="P166:S166" si="491">P154*P144</f>
        <v>1.5729957652498918</v>
      </c>
      <c r="Q166" s="10">
        <f t="shared" si="491"/>
        <v>2.5389921778628719</v>
      </c>
      <c r="R166" s="10">
        <f t="shared" si="491"/>
        <v>2.6062673324390282</v>
      </c>
      <c r="S166" s="10">
        <f t="shared" si="491"/>
        <v>7.3436313525543344</v>
      </c>
      <c r="T166" s="308">
        <f t="shared" si="486"/>
        <v>14.194584018267442</v>
      </c>
      <c r="U166" s="308">
        <f t="shared" si="486"/>
        <v>26.985379554214141</v>
      </c>
      <c r="V166" s="308">
        <f t="shared" si="486"/>
        <v>38.864362968764894</v>
      </c>
      <c r="X166" s="10">
        <f t="shared" si="475"/>
        <v>0.78174288817735449</v>
      </c>
      <c r="Y166" s="10">
        <f t="shared" si="476"/>
        <v>1.5729957652498918</v>
      </c>
      <c r="Z166" s="10">
        <f t="shared" si="477"/>
        <v>2.5389921778628719</v>
      </c>
      <c r="AA166" s="10">
        <f t="shared" si="478"/>
        <v>2.6062673324390282</v>
      </c>
      <c r="AB166" s="10">
        <f t="shared" si="479"/>
        <v>7.3436313525543344</v>
      </c>
      <c r="AC166" s="312" t="e">
        <f t="array" ref="AC166">T166+INDEX($AI$161:$AS$168,MATCH($C166,$C$161:$C$168,0),MATCH(AC$160&amp;$D$3,$AI$160:$AS$160&amp;$AI$159:$AS$159,0))</f>
        <v>#N/A</v>
      </c>
      <c r="AD166" s="312" t="e">
        <f t="array" ref="AD166">U166+INDEX($AI$161:$AS$168,MATCH($C166,$C$161:$C$168,0),MATCH(AD$160&amp;$D$3,$AI$160:$AS$160&amp;$AI$159:$AS$159,0))</f>
        <v>#N/A</v>
      </c>
      <c r="AE166" s="312" t="e">
        <f t="array" ref="AE166">V166+INDEX($AI$161:$AS$168,MATCH($C166,$C$161:$C$168,0),MATCH(AE$160&amp;$D$3,$AI$160:$AS$160&amp;$AI$159:$AS$159,0))</f>
        <v>#N/A</v>
      </c>
      <c r="AI166" s="10">
        <f t="shared" si="487"/>
        <v>3.5065169617222605</v>
      </c>
      <c r="AJ166" s="10">
        <f t="shared" si="487"/>
        <v>4.6387882851884639</v>
      </c>
      <c r="AK166" s="10">
        <f t="shared" si="487"/>
        <v>5.8622746644791324</v>
      </c>
      <c r="AL166" s="10"/>
      <c r="AM166" s="10">
        <f t="shared" si="488"/>
        <v>1.1688389872407556</v>
      </c>
      <c r="AN166" s="10">
        <f t="shared" si="488"/>
        <v>3.0925255234589764</v>
      </c>
      <c r="AO166" s="10">
        <f t="shared" si="488"/>
        <v>5.8622746644791324</v>
      </c>
      <c r="AP166" s="10"/>
      <c r="AQ166" s="10">
        <f t="shared" si="489"/>
        <v>3.5065169617222605</v>
      </c>
      <c r="AR166" s="10">
        <f t="shared" si="489"/>
        <v>5.7984853564855818</v>
      </c>
      <c r="AS166" s="10">
        <f t="shared" si="489"/>
        <v>8.793411996718703</v>
      </c>
    </row>
    <row r="167" spans="1:46">
      <c r="A167" s="185" t="s">
        <v>16</v>
      </c>
      <c r="B167" s="185" t="s">
        <v>132</v>
      </c>
      <c r="C167" s="185" t="s">
        <v>85</v>
      </c>
      <c r="D167" s="185" t="str">
        <f>D166</f>
        <v>billion</v>
      </c>
      <c r="E167" s="300">
        <f t="shared" ref="E167:E168" si="492">E155</f>
        <v>14.377943324329372</v>
      </c>
      <c r="F167" s="50">
        <f t="shared" si="461"/>
        <v>12.045661044795077</v>
      </c>
      <c r="G167" s="50">
        <f t="shared" si="462"/>
        <v>8.8709735194998576</v>
      </c>
      <c r="H167" s="50">
        <f t="shared" si="463"/>
        <v>9.0782010090038749</v>
      </c>
      <c r="I167" s="50">
        <f t="shared" si="464"/>
        <v>9.3856488558330522</v>
      </c>
      <c r="J167" s="50">
        <f t="shared" si="465"/>
        <v>9.3084829846394115</v>
      </c>
      <c r="K167" s="50">
        <f t="shared" si="466"/>
        <v>9.4661797275393322</v>
      </c>
      <c r="L167" s="50">
        <f t="shared" si="467"/>
        <v>8.8903091815201449</v>
      </c>
      <c r="M167" s="50">
        <f t="shared" si="468"/>
        <v>8.0089936331406903</v>
      </c>
      <c r="N167" s="185" t="str">
        <f t="shared" si="469"/>
        <v>Metro Rail</v>
      </c>
      <c r="O167" s="10">
        <f>O155</f>
        <v>12.045661044795077</v>
      </c>
      <c r="P167" s="10">
        <f t="shared" ref="P167:S167" si="493">P155</f>
        <v>8.8709735194998576</v>
      </c>
      <c r="Q167" s="10">
        <f t="shared" si="493"/>
        <v>9.0782010090038749</v>
      </c>
      <c r="R167" s="10">
        <f t="shared" si="493"/>
        <v>9.3856488558330522</v>
      </c>
      <c r="S167" s="10">
        <f t="shared" si="493"/>
        <v>9.3084829846394115</v>
      </c>
      <c r="T167" s="308">
        <f t="shared" ref="T167:V168" si="494">T155</f>
        <v>9.4661797275393322</v>
      </c>
      <c r="U167" s="308">
        <f t="shared" si="494"/>
        <v>8.8903091815201449</v>
      </c>
      <c r="V167" s="308">
        <f t="shared" si="494"/>
        <v>8.0089936331406903</v>
      </c>
      <c r="X167" s="10">
        <f t="shared" si="475"/>
        <v>12.045661044795077</v>
      </c>
      <c r="Y167" s="10">
        <f t="shared" si="476"/>
        <v>8.8709735194998576</v>
      </c>
      <c r="Z167" s="10">
        <f t="shared" si="477"/>
        <v>9.0782010090038749</v>
      </c>
      <c r="AA167" s="10">
        <f t="shared" si="478"/>
        <v>9.3856488558330522</v>
      </c>
      <c r="AB167" s="10">
        <f t="shared" si="479"/>
        <v>9.3084829846394115</v>
      </c>
      <c r="AC167" s="312" t="e">
        <f t="array" ref="AC167">T167+INDEX($AI$161:$AS$168,MATCH($C167,$C$161:$C$168,0),MATCH(AC$160&amp;$D$3,$AI$160:$AS$160&amp;$AI$159:$AS$159,0))</f>
        <v>#N/A</v>
      </c>
      <c r="AD167" s="312" t="e">
        <f t="array" ref="AD167">U167+INDEX($AI$161:$AS$168,MATCH($C167,$C$161:$C$168,0),MATCH(AD$160&amp;$D$3,$AI$160:$AS$160&amp;$AI$159:$AS$159,0))</f>
        <v>#N/A</v>
      </c>
      <c r="AE167" s="312" t="e">
        <f t="array" ref="AE167">V167+INDEX($AI$161:$AS$168,MATCH($C167,$C$161:$C$168,0),MATCH(AE$160&amp;$D$3,$AI$160:$AS$160&amp;$AI$159:$AS$159,0))</f>
        <v>#N/A</v>
      </c>
      <c r="AI167" s="10">
        <f t="shared" si="487"/>
        <v>2.3384496322407609</v>
      </c>
      <c r="AJ167" s="10">
        <f t="shared" si="487"/>
        <v>3.0935463532490144</v>
      </c>
      <c r="AK167" s="10">
        <f t="shared" si="487"/>
        <v>3.9094731846134936</v>
      </c>
      <c r="AL167" s="10"/>
      <c r="AM167" s="10">
        <f t="shared" si="488"/>
        <v>0.77948321074692162</v>
      </c>
      <c r="AN167" s="10">
        <f t="shared" si="488"/>
        <v>2.0623642354993432</v>
      </c>
      <c r="AO167" s="10">
        <f t="shared" si="488"/>
        <v>3.9094731846134936</v>
      </c>
      <c r="AP167" s="10"/>
      <c r="AQ167" s="10">
        <f t="shared" si="489"/>
        <v>2.3384496322407609</v>
      </c>
      <c r="AR167" s="10">
        <f t="shared" si="489"/>
        <v>3.8669329415612692</v>
      </c>
      <c r="AS167" s="10">
        <f t="shared" si="489"/>
        <v>5.8642097769202426</v>
      </c>
    </row>
    <row r="168" spans="1:46">
      <c r="A168" s="185" t="s">
        <v>16</v>
      </c>
      <c r="B168" s="185" t="s">
        <v>133</v>
      </c>
      <c r="C168" s="185" t="s">
        <v>82</v>
      </c>
      <c r="D168" s="185" t="s">
        <v>86</v>
      </c>
      <c r="E168" s="300">
        <f t="shared" si="492"/>
        <v>0.53452578037785492</v>
      </c>
      <c r="F168" s="50">
        <f t="shared" si="461"/>
        <v>0.58840536503250629</v>
      </c>
      <c r="G168" s="50">
        <f t="shared" si="462"/>
        <v>0.62462624083765128</v>
      </c>
      <c r="H168" s="50">
        <f t="shared" si="463"/>
        <v>0.67226296980162004</v>
      </c>
      <c r="I168" s="50">
        <f t="shared" si="464"/>
        <v>0.64616666359533781</v>
      </c>
      <c r="J168" s="50">
        <f t="shared" si="465"/>
        <v>0.64672402075743496</v>
      </c>
      <c r="K168" s="50">
        <f t="shared" si="466"/>
        <v>0.82430505614031691</v>
      </c>
      <c r="L168" s="50">
        <f t="shared" si="467"/>
        <v>1.0556620991476746</v>
      </c>
      <c r="M168" s="50">
        <f t="shared" si="468"/>
        <v>1.2746406348095956</v>
      </c>
      <c r="N168" s="185" t="str">
        <f t="shared" si="469"/>
        <v>Gautrain</v>
      </c>
      <c r="O168" s="10">
        <f>O156</f>
        <v>0.58840536503250629</v>
      </c>
      <c r="P168" s="10">
        <f t="shared" ref="P168:S168" si="495">P156</f>
        <v>0.62462624083765128</v>
      </c>
      <c r="Q168" s="10">
        <f t="shared" si="495"/>
        <v>0.67226296980162004</v>
      </c>
      <c r="R168" s="10">
        <f t="shared" si="495"/>
        <v>0.64616666359533781</v>
      </c>
      <c r="S168" s="10">
        <f t="shared" si="495"/>
        <v>0.64672402075743496</v>
      </c>
      <c r="T168" s="308">
        <f t="shared" si="494"/>
        <v>0.82430505614031691</v>
      </c>
      <c r="U168" s="308">
        <f t="shared" si="494"/>
        <v>1.0556620991476746</v>
      </c>
      <c r="V168" s="308">
        <f t="shared" si="494"/>
        <v>1.2746406348095956</v>
      </c>
      <c r="X168" s="10">
        <f t="shared" si="475"/>
        <v>0.58840536503250629</v>
      </c>
      <c r="Y168" s="10">
        <f t="shared" si="476"/>
        <v>0.62462624083765128</v>
      </c>
      <c r="Z168" s="10">
        <f t="shared" si="477"/>
        <v>0.67226296980162004</v>
      </c>
      <c r="AA168" s="10">
        <f t="shared" si="478"/>
        <v>0.64616666359533781</v>
      </c>
      <c r="AB168" s="10">
        <f t="shared" si="479"/>
        <v>0.64672402075743496</v>
      </c>
      <c r="AC168" s="312" t="e">
        <f t="array" ref="AC168">T168+INDEX($AI$161:$AS$168,MATCH($C168,$C$161:$C$168,0),MATCH(AC$160&amp;$D$3,$AI$160:$AS$160&amp;$AI$159:$AS$159,0))</f>
        <v>#N/A</v>
      </c>
      <c r="AD168" s="312" t="e">
        <f t="array" ref="AD168">U168+INDEX($AI$161:$AS$168,MATCH($C168,$C$161:$C$168,0),MATCH(AD$160&amp;$D$3,$AI$160:$AS$160&amp;$AI$159:$AS$159,0))</f>
        <v>#N/A</v>
      </c>
      <c r="AE168" s="312" t="e">
        <f t="array" ref="AE168">V168+INDEX($AI$161:$AS$168,MATCH($C168,$C$161:$C$168,0),MATCH(AE$160&amp;$D$3,$AI$160:$AS$160&amp;$AI$159:$AS$159,0))</f>
        <v>#N/A</v>
      </c>
      <c r="AI168" s="10">
        <f t="shared" si="487"/>
        <v>0.20362975464935412</v>
      </c>
      <c r="AJ168" s="10">
        <f t="shared" si="487"/>
        <v>0.26938278944450839</v>
      </c>
      <c r="AK168" s="10">
        <f t="shared" si="487"/>
        <v>0.34043284679527014</v>
      </c>
      <c r="AL168" s="10"/>
      <c r="AM168" s="10">
        <f t="shared" si="488"/>
        <v>6.7876584883118152E-2</v>
      </c>
      <c r="AN168" s="10">
        <f t="shared" si="488"/>
        <v>0.17958852629633892</v>
      </c>
      <c r="AO168" s="10">
        <f t="shared" si="488"/>
        <v>0.34043284679527014</v>
      </c>
      <c r="AP168" s="10"/>
      <c r="AQ168" s="10">
        <f t="shared" si="489"/>
        <v>0.20362975464935412</v>
      </c>
      <c r="AR168" s="10">
        <f t="shared" si="489"/>
        <v>0.33672848680563555</v>
      </c>
      <c r="AS168" s="10">
        <f t="shared" si="489"/>
        <v>0.5106492701929054</v>
      </c>
    </row>
    <row r="169" spans="1:46">
      <c r="A169" s="185" t="s">
        <v>16</v>
      </c>
      <c r="C169" s="5" t="s">
        <v>5</v>
      </c>
      <c r="E169" s="10">
        <f t="shared" ref="E169:M169" si="496">SUM(E161:E168)</f>
        <v>245.31447729210322</v>
      </c>
      <c r="F169" s="10">
        <f t="shared" si="496"/>
        <v>279.69208968736928</v>
      </c>
      <c r="G169" s="10">
        <f t="shared" si="496"/>
        <v>281.17791700593648</v>
      </c>
      <c r="H169" s="10">
        <f t="shared" si="496"/>
        <v>292.13695461594722</v>
      </c>
      <c r="I169" s="10">
        <f t="shared" si="496"/>
        <v>290.04664787503373</v>
      </c>
      <c r="J169" s="10">
        <f t="shared" si="496"/>
        <v>294.53130379995724</v>
      </c>
      <c r="K169" s="10">
        <f t="shared" si="496"/>
        <v>346.02804960130425</v>
      </c>
      <c r="L169" s="10">
        <f t="shared" si="496"/>
        <v>413.28907232821632</v>
      </c>
      <c r="M169" s="10">
        <f t="shared" si="496"/>
        <v>480.24095846094235</v>
      </c>
      <c r="N169" s="39"/>
      <c r="O169" s="10">
        <f>SUM(O161:O168)</f>
        <v>279.69208968736928</v>
      </c>
      <c r="P169" s="10">
        <f t="shared" ref="P169:S169" si="497">SUM(P161:P168)</f>
        <v>281.17791700593648</v>
      </c>
      <c r="Q169" s="10">
        <f t="shared" si="497"/>
        <v>292.13695461594722</v>
      </c>
      <c r="R169" s="10">
        <f t="shared" si="497"/>
        <v>290.04664787503373</v>
      </c>
      <c r="S169" s="10">
        <f t="shared" si="497"/>
        <v>294.53130379995724</v>
      </c>
      <c r="T169" s="10">
        <f>SUM(T161:T168)</f>
        <v>346.02804960130425</v>
      </c>
      <c r="U169" s="10">
        <f>SUM(U161:U168)</f>
        <v>413.28907232821632</v>
      </c>
      <c r="V169" s="10">
        <f>SUM(V161:V168)</f>
        <v>480.24095846094235</v>
      </c>
      <c r="W169" s="283"/>
      <c r="X169" s="10">
        <f>SUM(X161:X168)</f>
        <v>279.69208968736928</v>
      </c>
      <c r="Y169" s="10">
        <f t="shared" ref="Y169:AB169" si="498">SUM(Y161:Y168)</f>
        <v>281.17791700593648</v>
      </c>
      <c r="Z169" s="10">
        <f t="shared" si="498"/>
        <v>292.13695461594722</v>
      </c>
      <c r="AA169" s="10">
        <f t="shared" si="498"/>
        <v>290.04664787503373</v>
      </c>
      <c r="AB169" s="10">
        <f t="shared" si="498"/>
        <v>294.53130379995724</v>
      </c>
      <c r="AC169" s="10" t="e">
        <f>SUM(AC161:AC168)</f>
        <v>#N/A</v>
      </c>
      <c r="AD169" s="10" t="e">
        <f>SUM(AD161:AD168)</f>
        <v>#N/A</v>
      </c>
      <c r="AE169" s="10" t="e">
        <f>SUM(AE161:AE168)</f>
        <v>#N/A</v>
      </c>
      <c r="AQ169" s="185" t="s">
        <v>625</v>
      </c>
    </row>
    <row r="170" spans="1:46" ht="15.75" thickBot="1">
      <c r="A170" s="185" t="s">
        <v>16</v>
      </c>
      <c r="L170" s="185"/>
      <c r="N170" s="40"/>
      <c r="W170" s="283"/>
      <c r="AE170" s="126"/>
      <c r="AI170" s="251">
        <v>1</v>
      </c>
      <c r="AJ170" s="251">
        <v>1</v>
      </c>
      <c r="AK170" s="251">
        <v>1</v>
      </c>
      <c r="AL170" s="251"/>
      <c r="AM170" s="251">
        <v>2</v>
      </c>
      <c r="AN170" s="251">
        <v>2</v>
      </c>
      <c r="AO170" s="251">
        <v>2</v>
      </c>
      <c r="AQ170" s="251">
        <v>2</v>
      </c>
      <c r="AR170" s="251">
        <v>2</v>
      </c>
      <c r="AS170" s="251">
        <v>2</v>
      </c>
    </row>
    <row r="171" spans="1:46" ht="15.75" thickBot="1">
      <c r="A171" s="185" t="s">
        <v>16</v>
      </c>
      <c r="C171" s="227" t="s">
        <v>143</v>
      </c>
      <c r="D171" s="227"/>
      <c r="E171" s="251">
        <v>2012</v>
      </c>
      <c r="F171" s="251">
        <f>F4</f>
        <v>2015</v>
      </c>
      <c r="G171" s="251">
        <f>G4</f>
        <v>2017</v>
      </c>
      <c r="H171" s="282">
        <f t="shared" ref="H171:J171" si="499">H4</f>
        <v>2019</v>
      </c>
      <c r="I171" s="282">
        <f t="shared" si="499"/>
        <v>2020</v>
      </c>
      <c r="J171" s="282">
        <f t="shared" si="499"/>
        <v>2021</v>
      </c>
      <c r="K171" s="251">
        <v>2030</v>
      </c>
      <c r="L171" s="251">
        <v>2040</v>
      </c>
      <c r="M171" s="251">
        <v>2050</v>
      </c>
      <c r="N171" s="251"/>
      <c r="O171" s="299">
        <f>O160</f>
        <v>2015</v>
      </c>
      <c r="P171" s="299">
        <f t="shared" ref="P171:V171" si="500">P160</f>
        <v>2017</v>
      </c>
      <c r="Q171" s="299">
        <f t="shared" si="500"/>
        <v>2019</v>
      </c>
      <c r="R171" s="299">
        <f t="shared" si="500"/>
        <v>2020</v>
      </c>
      <c r="S171" s="299">
        <f t="shared" si="500"/>
        <v>2021</v>
      </c>
      <c r="T171" s="299">
        <f t="shared" si="500"/>
        <v>2030</v>
      </c>
      <c r="U171" s="299">
        <f t="shared" si="500"/>
        <v>2040</v>
      </c>
      <c r="V171" s="299">
        <f t="shared" si="500"/>
        <v>2050</v>
      </c>
      <c r="W171" s="283"/>
      <c r="X171" s="299">
        <f>X160</f>
        <v>2015</v>
      </c>
      <c r="Y171" s="299">
        <f t="shared" ref="Y171:AE171" si="501">Y160</f>
        <v>2017</v>
      </c>
      <c r="Z171" s="299">
        <f t="shared" si="501"/>
        <v>2019</v>
      </c>
      <c r="AA171" s="299">
        <f t="shared" si="501"/>
        <v>2020</v>
      </c>
      <c r="AB171" s="299">
        <f t="shared" si="501"/>
        <v>2021</v>
      </c>
      <c r="AC171" s="299">
        <f t="shared" si="501"/>
        <v>2030</v>
      </c>
      <c r="AD171" s="299">
        <f t="shared" si="501"/>
        <v>2040</v>
      </c>
      <c r="AE171" s="299">
        <f t="shared" si="501"/>
        <v>2050</v>
      </c>
      <c r="AF171" s="251"/>
      <c r="AI171" s="251">
        <v>2030</v>
      </c>
      <c r="AJ171" s="251">
        <v>2040</v>
      </c>
      <c r="AK171" s="251">
        <v>2050</v>
      </c>
      <c r="AL171" s="251"/>
      <c r="AM171" s="251">
        <v>2030</v>
      </c>
      <c r="AN171" s="251">
        <v>2040</v>
      </c>
      <c r="AO171" s="251">
        <v>2050</v>
      </c>
      <c r="AP171" s="251"/>
      <c r="AQ171" s="251">
        <v>2030</v>
      </c>
      <c r="AR171" s="251">
        <v>2040</v>
      </c>
      <c r="AS171" s="251">
        <v>2050</v>
      </c>
      <c r="AT171" s="251"/>
    </row>
    <row r="172" spans="1:46">
      <c r="A172" s="185" t="s">
        <v>16</v>
      </c>
      <c r="B172" s="185" t="str">
        <f t="shared" ref="B172:C179" si="502">B161</f>
        <v>TPPRCAR</v>
      </c>
      <c r="C172" s="185" t="str">
        <f t="shared" si="502"/>
        <v>Car</v>
      </c>
      <c r="E172" s="241">
        <f t="shared" ref="E172:G179" si="503">E161/E$169</f>
        <v>0.46503060512023314</v>
      </c>
      <c r="F172" s="241">
        <f>F161/F$169</f>
        <v>0.44599647688406435</v>
      </c>
      <c r="G172" s="241">
        <f t="shared" si="503"/>
        <v>0.4656708873816896</v>
      </c>
      <c r="H172" s="241">
        <f>H161/H$169</f>
        <v>0.46888782544159791</v>
      </c>
      <c r="I172" s="241">
        <f t="shared" ref="I172:J172" si="504">I161/I$169</f>
        <v>0.45249711583077229</v>
      </c>
      <c r="J172" s="241">
        <f t="shared" si="504"/>
        <v>0.44816398405186625</v>
      </c>
      <c r="K172" s="241">
        <f t="shared" ref="K172:M179" si="505">K161/K$169</f>
        <v>0.48758569529124102</v>
      </c>
      <c r="L172" s="241">
        <f t="shared" si="505"/>
        <v>0.5400537002707958</v>
      </c>
      <c r="M172" s="241">
        <f t="shared" si="505"/>
        <v>0.58734500827675606</v>
      </c>
      <c r="N172" s="40" t="str">
        <f>C172</f>
        <v>Car</v>
      </c>
      <c r="O172" s="241">
        <f t="shared" ref="O172:O179" si="506">O161/O$169</f>
        <v>0.44599647688406435</v>
      </c>
      <c r="P172" s="241">
        <f t="shared" ref="P172:S172" si="507">P161/P$169</f>
        <v>0.4656708873816896</v>
      </c>
      <c r="Q172" s="241">
        <f t="shared" si="507"/>
        <v>0.46888782544159791</v>
      </c>
      <c r="R172" s="241">
        <f t="shared" si="507"/>
        <v>0.45249711583077229</v>
      </c>
      <c r="S172" s="241">
        <f t="shared" si="507"/>
        <v>0.44816398405186625</v>
      </c>
      <c r="T172" s="309">
        <f t="shared" ref="T172:V179" si="508">T161/T$169</f>
        <v>0.48758569529124102</v>
      </c>
      <c r="U172" s="309">
        <f t="shared" si="508"/>
        <v>0.5400537002707958</v>
      </c>
      <c r="V172" s="309">
        <f t="shared" si="508"/>
        <v>0.58734500827675606</v>
      </c>
      <c r="W172" s="283"/>
      <c r="X172" s="241">
        <f>O172</f>
        <v>0.44599647688406435</v>
      </c>
      <c r="Y172" s="241">
        <f t="shared" ref="Y172:AB172" si="509">P172</f>
        <v>0.4656708873816896</v>
      </c>
      <c r="Z172" s="241">
        <f t="shared" si="509"/>
        <v>0.46888782544159791</v>
      </c>
      <c r="AA172" s="241">
        <f t="shared" si="509"/>
        <v>0.45249711583077229</v>
      </c>
      <c r="AB172" s="241">
        <f t="shared" si="509"/>
        <v>0.44816398405186625</v>
      </c>
      <c r="AC172" s="241" t="e">
        <f t="shared" ref="AC172:AE179" si="510">AC161/AC$169</f>
        <v>#N/A</v>
      </c>
      <c r="AD172" s="241" t="e">
        <f t="shared" si="510"/>
        <v>#N/A</v>
      </c>
      <c r="AE172" s="241" t="e">
        <f t="shared" si="510"/>
        <v>#N/A</v>
      </c>
      <c r="AI172" s="190"/>
      <c r="AJ172" s="190"/>
      <c r="AK172" s="190"/>
      <c r="AM172" s="190"/>
      <c r="AN172" s="190"/>
      <c r="AO172" s="190"/>
      <c r="AQ172" s="233"/>
      <c r="AR172" s="233"/>
      <c r="AS172" s="233"/>
    </row>
    <row r="173" spans="1:46">
      <c r="A173" s="185" t="s">
        <v>16</v>
      </c>
      <c r="B173" s="185" t="str">
        <f t="shared" si="502"/>
        <v>TPPRSUV</v>
      </c>
      <c r="C173" s="185" t="str">
        <f t="shared" si="502"/>
        <v>SUV</v>
      </c>
      <c r="E173" s="241">
        <f t="shared" si="503"/>
        <v>5.3395498514103731E-2</v>
      </c>
      <c r="F173" s="241">
        <f t="shared" si="503"/>
        <v>5.1209971895508723E-2</v>
      </c>
      <c r="G173" s="241">
        <f t="shared" si="503"/>
        <v>5.3228317420767134E-2</v>
      </c>
      <c r="H173" s="241">
        <f t="shared" ref="H173:J173" si="511">H162/H$169</f>
        <v>5.3596028189929729E-2</v>
      </c>
      <c r="I173" s="241">
        <f t="shared" si="511"/>
        <v>5.1722494933809426E-2</v>
      </c>
      <c r="J173" s="241">
        <f t="shared" si="511"/>
        <v>5.1227198105076019E-2</v>
      </c>
      <c r="K173" s="241">
        <f t="shared" si="505"/>
        <v>5.573328043914158E-2</v>
      </c>
      <c r="L173" s="241">
        <f t="shared" si="505"/>
        <v>6.1730613961941364E-2</v>
      </c>
      <c r="M173" s="241">
        <f t="shared" si="505"/>
        <v>6.7136227286704042E-2</v>
      </c>
      <c r="N173" s="40"/>
      <c r="O173" s="241">
        <f t="shared" si="506"/>
        <v>5.1209971895508723E-2</v>
      </c>
      <c r="P173" s="241">
        <f t="shared" ref="P173:S173" si="512">P162/P$169</f>
        <v>5.3228317420767134E-2</v>
      </c>
      <c r="Q173" s="241">
        <f t="shared" si="512"/>
        <v>5.3596028189929729E-2</v>
      </c>
      <c r="R173" s="241">
        <f t="shared" si="512"/>
        <v>5.1722494933809426E-2</v>
      </c>
      <c r="S173" s="241">
        <f t="shared" si="512"/>
        <v>5.1227198105076019E-2</v>
      </c>
      <c r="T173" s="309">
        <f t="shared" si="508"/>
        <v>5.573328043914158E-2</v>
      </c>
      <c r="U173" s="309">
        <f t="shared" si="508"/>
        <v>6.1730613961941364E-2</v>
      </c>
      <c r="V173" s="309">
        <f t="shared" si="508"/>
        <v>6.7136227286704042E-2</v>
      </c>
      <c r="W173" s="283"/>
      <c r="X173" s="241">
        <f t="shared" ref="X173:X182" si="513">O173</f>
        <v>5.1209971895508723E-2</v>
      </c>
      <c r="Y173" s="241">
        <f t="shared" ref="Y173:Y182" si="514">P173</f>
        <v>5.3228317420767134E-2</v>
      </c>
      <c r="Z173" s="241">
        <f t="shared" ref="Z173:Z182" si="515">Q173</f>
        <v>5.3596028189929729E-2</v>
      </c>
      <c r="AA173" s="241">
        <f t="shared" ref="AA173:AA182" si="516">R173</f>
        <v>5.1722494933809426E-2</v>
      </c>
      <c r="AB173" s="241">
        <f t="shared" ref="AB173:AB182" si="517">S173</f>
        <v>5.1227198105076019E-2</v>
      </c>
      <c r="AC173" s="309" t="e">
        <f t="shared" si="510"/>
        <v>#N/A</v>
      </c>
      <c r="AD173" s="309" t="e">
        <f t="shared" si="510"/>
        <v>#N/A</v>
      </c>
      <c r="AE173" s="309" t="e">
        <f t="shared" si="510"/>
        <v>#N/A</v>
      </c>
      <c r="AI173" s="190"/>
      <c r="AJ173" s="190"/>
      <c r="AK173" s="190"/>
      <c r="AM173" s="190"/>
      <c r="AN173" s="190"/>
      <c r="AO173" s="190"/>
      <c r="AQ173" s="233"/>
      <c r="AR173" s="233"/>
      <c r="AS173" s="233"/>
    </row>
    <row r="174" spans="1:46">
      <c r="A174" s="185" t="s">
        <v>16</v>
      </c>
      <c r="B174" s="185" t="str">
        <f t="shared" si="502"/>
        <v>TPPRMOT</v>
      </c>
      <c r="C174" s="185" t="str">
        <f t="shared" si="502"/>
        <v>Motorbike</v>
      </c>
      <c r="E174" s="241">
        <f t="shared" si="503"/>
        <v>1.8201709730525852E-2</v>
      </c>
      <c r="F174" s="241">
        <f t="shared" si="503"/>
        <v>1.5439894376210902E-2</v>
      </c>
      <c r="G174" s="241">
        <f t="shared" si="503"/>
        <v>1.604842901450897E-2</v>
      </c>
      <c r="H174" s="241">
        <f t="shared" ref="H174:J174" si="518">H163/H$169</f>
        <v>1.6159294442212195E-2</v>
      </c>
      <c r="I174" s="241">
        <f t="shared" si="518"/>
        <v>1.5594420951481908E-2</v>
      </c>
      <c r="J174" s="241">
        <f t="shared" si="518"/>
        <v>1.5445088107946668E-2</v>
      </c>
      <c r="K174" s="241">
        <f t="shared" si="505"/>
        <v>1.6803679661764413E-2</v>
      </c>
      <c r="L174" s="241">
        <f t="shared" si="505"/>
        <v>1.8611886007198059E-2</v>
      </c>
      <c r="M174" s="241">
        <f t="shared" si="505"/>
        <v>2.0241687697838972E-2</v>
      </c>
      <c r="N174" s="40"/>
      <c r="O174" s="241">
        <f t="shared" si="506"/>
        <v>1.5439894376210902E-2</v>
      </c>
      <c r="P174" s="241">
        <f t="shared" ref="P174:S174" si="519">P163/P$169</f>
        <v>1.604842901450897E-2</v>
      </c>
      <c r="Q174" s="241">
        <f t="shared" si="519"/>
        <v>1.6159294442212195E-2</v>
      </c>
      <c r="R174" s="241">
        <f t="shared" si="519"/>
        <v>1.5594420951481908E-2</v>
      </c>
      <c r="S174" s="241">
        <f t="shared" si="519"/>
        <v>1.5445088107946668E-2</v>
      </c>
      <c r="T174" s="309">
        <f t="shared" si="508"/>
        <v>1.6803679661764413E-2</v>
      </c>
      <c r="U174" s="309">
        <f t="shared" si="508"/>
        <v>1.8611886007198059E-2</v>
      </c>
      <c r="V174" s="309">
        <f t="shared" si="508"/>
        <v>2.0241687697838972E-2</v>
      </c>
      <c r="W174" s="283"/>
      <c r="X174" s="241">
        <f t="shared" si="513"/>
        <v>1.5439894376210902E-2</v>
      </c>
      <c r="Y174" s="241">
        <f t="shared" si="514"/>
        <v>1.604842901450897E-2</v>
      </c>
      <c r="Z174" s="241">
        <f t="shared" si="515"/>
        <v>1.6159294442212195E-2</v>
      </c>
      <c r="AA174" s="241">
        <f t="shared" si="516"/>
        <v>1.5594420951481908E-2</v>
      </c>
      <c r="AB174" s="241">
        <f t="shared" si="517"/>
        <v>1.5445088107946668E-2</v>
      </c>
      <c r="AC174" s="309" t="e">
        <f t="shared" si="510"/>
        <v>#N/A</v>
      </c>
      <c r="AD174" s="309" t="e">
        <f t="shared" si="510"/>
        <v>#N/A</v>
      </c>
      <c r="AE174" s="309" t="e">
        <f t="shared" si="510"/>
        <v>#N/A</v>
      </c>
      <c r="AI174" s="190"/>
      <c r="AJ174" s="190"/>
      <c r="AK174" s="190"/>
      <c r="AM174" s="190"/>
      <c r="AN174" s="190"/>
      <c r="AO174" s="190"/>
    </row>
    <row r="175" spans="1:46">
      <c r="A175" s="185" t="s">
        <v>16</v>
      </c>
      <c r="B175" s="185" t="str">
        <f t="shared" si="502"/>
        <v>TPPUBUS</v>
      </c>
      <c r="C175" s="185" t="str">
        <f t="shared" si="502"/>
        <v>Bus</v>
      </c>
      <c r="E175" s="241">
        <f t="shared" si="503"/>
        <v>6.2979516796080506E-2</v>
      </c>
      <c r="F175" s="241">
        <f t="shared" si="503"/>
        <v>9.8373791111202785E-2</v>
      </c>
      <c r="G175" s="241">
        <f t="shared" si="503"/>
        <v>6.7671016194196354E-2</v>
      </c>
      <c r="H175" s="241">
        <f t="shared" ref="H175:J175" si="520">H164/H$169</f>
        <v>6.6653954646919394E-2</v>
      </c>
      <c r="I175" s="241">
        <f t="shared" si="520"/>
        <v>6.9407927392952498E-2</v>
      </c>
      <c r="J175" s="241">
        <f t="shared" si="520"/>
        <v>6.7789132145558845E-2</v>
      </c>
      <c r="K175" s="241">
        <f t="shared" si="505"/>
        <v>5.8678103072608935E-2</v>
      </c>
      <c r="L175" s="241">
        <f t="shared" si="505"/>
        <v>4.613978507013098E-2</v>
      </c>
      <c r="M175" s="241">
        <f t="shared" si="505"/>
        <v>3.5771024271405313E-2</v>
      </c>
      <c r="N175" s="40"/>
      <c r="O175" s="241">
        <f t="shared" si="506"/>
        <v>9.8373791111202785E-2</v>
      </c>
      <c r="P175" s="241">
        <f t="shared" ref="P175:S175" si="521">P164/P$169</f>
        <v>6.7671016194196354E-2</v>
      </c>
      <c r="Q175" s="241">
        <f t="shared" si="521"/>
        <v>6.6653954646919394E-2</v>
      </c>
      <c r="R175" s="241">
        <f t="shared" si="521"/>
        <v>6.9407927392952498E-2</v>
      </c>
      <c r="S175" s="241">
        <f t="shared" si="521"/>
        <v>6.7789132145558845E-2</v>
      </c>
      <c r="T175" s="309">
        <f t="shared" si="508"/>
        <v>5.8678103072608935E-2</v>
      </c>
      <c r="U175" s="309">
        <f t="shared" si="508"/>
        <v>4.613978507013098E-2</v>
      </c>
      <c r="V175" s="309">
        <f t="shared" si="508"/>
        <v>3.5771024271405313E-2</v>
      </c>
      <c r="W175" s="283"/>
      <c r="X175" s="241">
        <f t="shared" si="513"/>
        <v>9.8373791111202785E-2</v>
      </c>
      <c r="Y175" s="241">
        <f t="shared" si="514"/>
        <v>6.7671016194196354E-2</v>
      </c>
      <c r="Z175" s="241">
        <f t="shared" si="515"/>
        <v>6.6653954646919394E-2</v>
      </c>
      <c r="AA175" s="241">
        <f t="shared" si="516"/>
        <v>6.9407927392952498E-2</v>
      </c>
      <c r="AB175" s="241">
        <f t="shared" si="517"/>
        <v>6.7789132145558845E-2</v>
      </c>
      <c r="AC175" s="309" t="e">
        <f t="shared" si="510"/>
        <v>#N/A</v>
      </c>
      <c r="AD175" s="309" t="e">
        <f t="shared" si="510"/>
        <v>#N/A</v>
      </c>
      <c r="AE175" s="309" t="e">
        <f t="shared" si="510"/>
        <v>#N/A</v>
      </c>
      <c r="AG175" s="256">
        <f>T175</f>
        <v>5.8678103072608935E-2</v>
      </c>
      <c r="AI175" s="310">
        <f>AG175/$AG$180</f>
        <v>0.13339651107724126</v>
      </c>
      <c r="AJ175" s="310">
        <f>AI175</f>
        <v>0.13339651107724126</v>
      </c>
      <c r="AK175" s="310">
        <f>AJ175</f>
        <v>0.13339651107724126</v>
      </c>
      <c r="AL175" s="311"/>
      <c r="AM175" s="310">
        <f>AI175</f>
        <v>0.13339651107724126</v>
      </c>
      <c r="AN175" s="310">
        <f t="shared" ref="AN175:AO179" si="522">AJ175</f>
        <v>0.13339651107724126</v>
      </c>
      <c r="AO175" s="310">
        <f t="shared" si="522"/>
        <v>0.13339651107724126</v>
      </c>
      <c r="AP175" s="311"/>
      <c r="AQ175" s="310">
        <f>AM175</f>
        <v>0.13339651107724126</v>
      </c>
      <c r="AR175" s="310">
        <f t="shared" ref="AR175:AS179" si="523">AN175</f>
        <v>0.13339651107724126</v>
      </c>
      <c r="AS175" s="310">
        <f t="shared" si="523"/>
        <v>0.13339651107724126</v>
      </c>
    </row>
    <row r="176" spans="1:46">
      <c r="A176" s="185" t="s">
        <v>16</v>
      </c>
      <c r="B176" s="185" t="str">
        <f t="shared" si="502"/>
        <v>TPPUMBT</v>
      </c>
      <c r="C176" s="185" t="str">
        <f t="shared" si="502"/>
        <v>Minibus</v>
      </c>
      <c r="E176" s="241">
        <f t="shared" si="503"/>
        <v>0.33745443889479554</v>
      </c>
      <c r="F176" s="241">
        <f t="shared" si="503"/>
        <v>0.3410135134739965</v>
      </c>
      <c r="G176" s="241">
        <f t="shared" si="503"/>
        <v>0.35801625459497127</v>
      </c>
      <c r="H176" s="241">
        <f t="shared" ref="H176:J176" si="524">H165/H$169</f>
        <v>0.35263544924687767</v>
      </c>
      <c r="I176" s="241">
        <f t="shared" si="524"/>
        <v>0.36720545370730956</v>
      </c>
      <c r="J176" s="241">
        <f t="shared" si="524"/>
        <v>0.35864115182413914</v>
      </c>
      <c r="K176" s="241">
        <f t="shared" si="505"/>
        <v>0.31043888314765394</v>
      </c>
      <c r="L176" s="241">
        <f t="shared" si="505"/>
        <v>0.24410440344535511</v>
      </c>
      <c r="M176" s="241">
        <f t="shared" si="505"/>
        <v>0.18924805408452947</v>
      </c>
      <c r="N176" s="40"/>
      <c r="O176" s="241">
        <f t="shared" si="506"/>
        <v>0.3410135134739965</v>
      </c>
      <c r="P176" s="241">
        <f t="shared" ref="P176:S176" si="525">P165/P$169</f>
        <v>0.35801625459497127</v>
      </c>
      <c r="Q176" s="241">
        <f t="shared" si="525"/>
        <v>0.35263544924687767</v>
      </c>
      <c r="R176" s="241">
        <f t="shared" si="525"/>
        <v>0.36720545370730956</v>
      </c>
      <c r="S176" s="241">
        <f t="shared" si="525"/>
        <v>0.35864115182413914</v>
      </c>
      <c r="T176" s="309">
        <f t="shared" si="508"/>
        <v>0.31043888314765394</v>
      </c>
      <c r="U176" s="309">
        <f t="shared" si="508"/>
        <v>0.24410440344535511</v>
      </c>
      <c r="V176" s="309">
        <f t="shared" si="508"/>
        <v>0.18924805408452947</v>
      </c>
      <c r="W176" s="283"/>
      <c r="X176" s="241">
        <f t="shared" si="513"/>
        <v>0.3410135134739965</v>
      </c>
      <c r="Y176" s="241">
        <f t="shared" si="514"/>
        <v>0.35801625459497127</v>
      </c>
      <c r="Z176" s="241">
        <f t="shared" si="515"/>
        <v>0.35263544924687767</v>
      </c>
      <c r="AA176" s="241">
        <f t="shared" si="516"/>
        <v>0.36720545370730956</v>
      </c>
      <c r="AB176" s="241">
        <f t="shared" si="517"/>
        <v>0.35864115182413914</v>
      </c>
      <c r="AC176" s="309" t="e">
        <f t="shared" si="510"/>
        <v>#N/A</v>
      </c>
      <c r="AD176" s="309" t="e">
        <f t="shared" si="510"/>
        <v>#N/A</v>
      </c>
      <c r="AE176" s="309" t="e">
        <f t="shared" si="510"/>
        <v>#N/A</v>
      </c>
      <c r="AG176" s="256">
        <f>T176</f>
        <v>0.31043888314765394</v>
      </c>
      <c r="AI176" s="310">
        <f>1-SUM(AI177:AI179,AI175)</f>
        <v>0.70573964982081006</v>
      </c>
      <c r="AJ176" s="310">
        <f t="shared" ref="AJ176:AK176" si="526">1-SUM(AJ177:AJ179,AJ175)</f>
        <v>0.70573964982081006</v>
      </c>
      <c r="AK176" s="310">
        <f t="shared" si="526"/>
        <v>0.70573964982081006</v>
      </c>
      <c r="AL176" s="311"/>
      <c r="AM176" s="310">
        <f t="shared" ref="AM176:AM179" si="527">AI176</f>
        <v>0.70573964982081006</v>
      </c>
      <c r="AN176" s="310">
        <f t="shared" si="522"/>
        <v>0.70573964982081006</v>
      </c>
      <c r="AO176" s="310">
        <f t="shared" si="522"/>
        <v>0.70573964982081006</v>
      </c>
      <c r="AP176" s="311"/>
      <c r="AQ176" s="310">
        <f t="shared" ref="AQ176:AQ178" si="528">AM176</f>
        <v>0.70573964982081006</v>
      </c>
      <c r="AR176" s="310">
        <f t="shared" si="523"/>
        <v>0.70573964982081006</v>
      </c>
      <c r="AS176" s="310">
        <f t="shared" si="523"/>
        <v>0.70573964982081006</v>
      </c>
    </row>
    <row r="177" spans="1:47">
      <c r="A177" s="185" t="s">
        <v>16</v>
      </c>
      <c r="B177" s="185" t="str">
        <f t="shared" si="502"/>
        <v>TPPUBRT</v>
      </c>
      <c r="C177" s="185" t="str">
        <f t="shared" si="502"/>
        <v>BRT</v>
      </c>
      <c r="E177" s="241">
        <f t="shared" si="503"/>
        <v>2.1490379487311747E-3</v>
      </c>
      <c r="F177" s="241">
        <f t="shared" si="503"/>
        <v>2.795012504826866E-3</v>
      </c>
      <c r="G177" s="241">
        <f t="shared" si="503"/>
        <v>5.5943076255760204E-3</v>
      </c>
      <c r="H177" s="241">
        <f t="shared" ref="H177:J177" si="529">H166/H$169</f>
        <v>8.6911023673835238E-3</v>
      </c>
      <c r="I177" s="241">
        <f t="shared" si="529"/>
        <v>8.98568334277711E-3</v>
      </c>
      <c r="J177" s="241">
        <f t="shared" si="529"/>
        <v>2.4933279613436461E-2</v>
      </c>
      <c r="K177" s="241">
        <f t="shared" si="505"/>
        <v>4.1021483763014392E-2</v>
      </c>
      <c r="L177" s="241">
        <f t="shared" si="505"/>
        <v>6.529420050279848E-2</v>
      </c>
      <c r="M177" s="241">
        <f t="shared" si="505"/>
        <v>8.0926797858549795E-2</v>
      </c>
      <c r="N177" s="40"/>
      <c r="O177" s="241">
        <f t="shared" si="506"/>
        <v>2.795012504826866E-3</v>
      </c>
      <c r="P177" s="241">
        <f t="shared" ref="P177:S177" si="530">P166/P$169</f>
        <v>5.5943076255760204E-3</v>
      </c>
      <c r="Q177" s="241">
        <f t="shared" si="530"/>
        <v>8.6911023673835238E-3</v>
      </c>
      <c r="R177" s="241">
        <f t="shared" si="530"/>
        <v>8.98568334277711E-3</v>
      </c>
      <c r="S177" s="241">
        <f t="shared" si="530"/>
        <v>2.4933279613436461E-2</v>
      </c>
      <c r="T177" s="309">
        <f t="shared" si="508"/>
        <v>4.1021483763014392E-2</v>
      </c>
      <c r="U177" s="309">
        <f t="shared" si="508"/>
        <v>6.529420050279848E-2</v>
      </c>
      <c r="V177" s="309">
        <f t="shared" si="508"/>
        <v>8.0926797858549795E-2</v>
      </c>
      <c r="W177" s="283"/>
      <c r="X177" s="241">
        <f t="shared" si="513"/>
        <v>2.795012504826866E-3</v>
      </c>
      <c r="Y177" s="241">
        <f t="shared" si="514"/>
        <v>5.5943076255760204E-3</v>
      </c>
      <c r="Z177" s="241">
        <f t="shared" si="515"/>
        <v>8.6911023673835238E-3</v>
      </c>
      <c r="AA177" s="241">
        <f t="shared" si="516"/>
        <v>8.98568334277711E-3</v>
      </c>
      <c r="AB177" s="241">
        <f t="shared" si="517"/>
        <v>2.4933279613436461E-2</v>
      </c>
      <c r="AC177" s="309" t="e">
        <f t="shared" si="510"/>
        <v>#N/A</v>
      </c>
      <c r="AD177" s="309" t="e">
        <f t="shared" si="510"/>
        <v>#N/A</v>
      </c>
      <c r="AE177" s="309" t="e">
        <f t="shared" si="510"/>
        <v>#N/A</v>
      </c>
      <c r="AG177" s="256">
        <f>T177</f>
        <v>4.1021483763014392E-2</v>
      </c>
      <c r="AI177" s="310">
        <f>AG177/$AG$180</f>
        <v>9.3256641347566338E-2</v>
      </c>
      <c r="AJ177" s="310">
        <f t="shared" ref="AJ177:AK177" si="531">AI177</f>
        <v>9.3256641347566338E-2</v>
      </c>
      <c r="AK177" s="310">
        <f t="shared" si="531"/>
        <v>9.3256641347566338E-2</v>
      </c>
      <c r="AL177" s="311"/>
      <c r="AM177" s="310">
        <f t="shared" si="527"/>
        <v>9.3256641347566338E-2</v>
      </c>
      <c r="AN177" s="310">
        <f t="shared" si="522"/>
        <v>9.3256641347566338E-2</v>
      </c>
      <c r="AO177" s="310">
        <f t="shared" si="522"/>
        <v>9.3256641347566338E-2</v>
      </c>
      <c r="AP177" s="311"/>
      <c r="AQ177" s="310">
        <f t="shared" si="528"/>
        <v>9.3256641347566338E-2</v>
      </c>
      <c r="AR177" s="310">
        <f t="shared" si="523"/>
        <v>9.3256641347566338E-2</v>
      </c>
      <c r="AS177" s="310">
        <f t="shared" si="523"/>
        <v>9.3256641347566338E-2</v>
      </c>
    </row>
    <row r="178" spans="1:47">
      <c r="A178" s="185" t="s">
        <v>16</v>
      </c>
      <c r="B178" s="185" t="str">
        <f t="shared" si="502"/>
        <v>TPPUMER</v>
      </c>
      <c r="C178" s="185" t="str">
        <f t="shared" si="502"/>
        <v>Metro Rail</v>
      </c>
      <c r="D178" s="255">
        <f>INDEX($BK$4:$BK$7,MATCH($D$3,$BB$4:$BB$7,0))</f>
        <v>0</v>
      </c>
      <c r="E178" s="241">
        <f t="shared" si="503"/>
        <v>5.8610251963275406E-2</v>
      </c>
      <c r="F178" s="241">
        <f t="shared" si="503"/>
        <v>4.3067578558475948E-2</v>
      </c>
      <c r="G178" s="241">
        <f t="shared" si="503"/>
        <v>3.1549325117564496E-2</v>
      </c>
      <c r="H178" s="241">
        <f t="shared" ref="H178:J178" si="532">H167/H$169</f>
        <v>3.1075154531334026E-2</v>
      </c>
      <c r="I178" s="241">
        <f t="shared" si="532"/>
        <v>3.2359101284552161E-2</v>
      </c>
      <c r="J178" s="241">
        <f t="shared" si="532"/>
        <v>3.1604392689483493E-2</v>
      </c>
      <c r="K178" s="241">
        <f t="shared" si="505"/>
        <v>2.7356683189256843E-2</v>
      </c>
      <c r="L178" s="241">
        <f t="shared" si="505"/>
        <v>2.1511116012425911E-2</v>
      </c>
      <c r="M178" s="241">
        <f t="shared" si="505"/>
        <v>1.6677031585993006E-2</v>
      </c>
      <c r="N178" s="40"/>
      <c r="O178" s="241">
        <f t="shared" si="506"/>
        <v>4.3067578558475948E-2</v>
      </c>
      <c r="P178" s="241">
        <f t="shared" ref="P178:S178" si="533">P167/P$169</f>
        <v>3.1549325117564496E-2</v>
      </c>
      <c r="Q178" s="241">
        <f t="shared" si="533"/>
        <v>3.1075154531334026E-2</v>
      </c>
      <c r="R178" s="241">
        <f t="shared" si="533"/>
        <v>3.2359101284552161E-2</v>
      </c>
      <c r="S178" s="241">
        <f t="shared" si="533"/>
        <v>3.1604392689483493E-2</v>
      </c>
      <c r="T178" s="309">
        <f t="shared" si="508"/>
        <v>2.7356683189256843E-2</v>
      </c>
      <c r="U178" s="309">
        <f t="shared" si="508"/>
        <v>2.1511116012425911E-2</v>
      </c>
      <c r="V178" s="309">
        <f t="shared" si="508"/>
        <v>1.6677031585993006E-2</v>
      </c>
      <c r="W178" s="283"/>
      <c r="X178" s="241">
        <f t="shared" si="513"/>
        <v>4.3067578558475948E-2</v>
      </c>
      <c r="Y178" s="241">
        <f t="shared" si="514"/>
        <v>3.1549325117564496E-2</v>
      </c>
      <c r="Z178" s="241">
        <f t="shared" si="515"/>
        <v>3.1075154531334026E-2</v>
      </c>
      <c r="AA178" s="241">
        <f t="shared" si="516"/>
        <v>3.2359101284552161E-2</v>
      </c>
      <c r="AB178" s="241">
        <f t="shared" si="517"/>
        <v>3.1604392689483493E-2</v>
      </c>
      <c r="AC178" s="309" t="e">
        <f t="shared" si="510"/>
        <v>#N/A</v>
      </c>
      <c r="AD178" s="309" t="e">
        <f t="shared" si="510"/>
        <v>#N/A</v>
      </c>
      <c r="AE178" s="309" t="e">
        <f t="shared" si="510"/>
        <v>#N/A</v>
      </c>
      <c r="AG178" s="256">
        <f>T178</f>
        <v>2.7356683189256843E-2</v>
      </c>
      <c r="AI178" s="310">
        <f>AG178/$AG$180</f>
        <v>6.2191616650875935E-2</v>
      </c>
      <c r="AJ178" s="310">
        <f>AI178*(1+$D$178)</f>
        <v>6.2191616650875935E-2</v>
      </c>
      <c r="AK178" s="310">
        <f>AJ178*(1+$D$178)</f>
        <v>6.2191616650875935E-2</v>
      </c>
      <c r="AL178" s="311"/>
      <c r="AM178" s="310">
        <f>AI178</f>
        <v>6.2191616650875935E-2</v>
      </c>
      <c r="AN178" s="310">
        <f t="shared" si="522"/>
        <v>6.2191616650875935E-2</v>
      </c>
      <c r="AO178" s="310">
        <f>AK178</f>
        <v>6.2191616650875935E-2</v>
      </c>
      <c r="AP178" s="311"/>
      <c r="AQ178" s="310">
        <f t="shared" si="528"/>
        <v>6.2191616650875935E-2</v>
      </c>
      <c r="AR178" s="310">
        <f t="shared" si="523"/>
        <v>6.2191616650875935E-2</v>
      </c>
      <c r="AS178" s="310">
        <f>AO178</f>
        <v>6.2191616650875935E-2</v>
      </c>
      <c r="AU178" s="276"/>
    </row>
    <row r="179" spans="1:47">
      <c r="A179" s="185" t="s">
        <v>16</v>
      </c>
      <c r="B179" s="185" t="str">
        <f t="shared" si="502"/>
        <v>TPPUGAT</v>
      </c>
      <c r="C179" s="185" t="str">
        <f t="shared" si="502"/>
        <v>Gautrain</v>
      </c>
      <c r="E179" s="241">
        <f t="shared" si="503"/>
        <v>2.1789410322546076E-3</v>
      </c>
      <c r="F179" s="241">
        <f t="shared" si="503"/>
        <v>2.1037611957142109E-3</v>
      </c>
      <c r="G179" s="241">
        <f t="shared" si="503"/>
        <v>2.221462650726101E-3</v>
      </c>
      <c r="H179" s="241">
        <f t="shared" ref="H179:J179" si="534">H168/H$169</f>
        <v>2.3011911337454684E-3</v>
      </c>
      <c r="I179" s="241">
        <f t="shared" si="534"/>
        <v>2.2278025563451367E-3</v>
      </c>
      <c r="J179" s="241">
        <f t="shared" si="534"/>
        <v>2.1957734624930853E-3</v>
      </c>
      <c r="K179" s="241">
        <f t="shared" si="505"/>
        <v>2.3821914353188609E-3</v>
      </c>
      <c r="L179" s="241">
        <f t="shared" si="505"/>
        <v>2.5542947293542605E-3</v>
      </c>
      <c r="M179" s="241">
        <f t="shared" si="505"/>
        <v>2.6541689382232505E-3</v>
      </c>
      <c r="N179" s="40"/>
      <c r="O179" s="241">
        <f t="shared" si="506"/>
        <v>2.1037611957142109E-3</v>
      </c>
      <c r="P179" s="241">
        <f t="shared" ref="P179:S179" si="535">P168/P$169</f>
        <v>2.221462650726101E-3</v>
      </c>
      <c r="Q179" s="241">
        <f t="shared" si="535"/>
        <v>2.3011911337454684E-3</v>
      </c>
      <c r="R179" s="241">
        <f t="shared" si="535"/>
        <v>2.2278025563451367E-3</v>
      </c>
      <c r="S179" s="241">
        <f t="shared" si="535"/>
        <v>2.1957734624930853E-3</v>
      </c>
      <c r="T179" s="309">
        <f t="shared" si="508"/>
        <v>2.3821914353188609E-3</v>
      </c>
      <c r="U179" s="309">
        <f t="shared" si="508"/>
        <v>2.5542947293542605E-3</v>
      </c>
      <c r="V179" s="309">
        <f t="shared" si="508"/>
        <v>2.6541689382232505E-3</v>
      </c>
      <c r="W179" s="283"/>
      <c r="X179" s="241">
        <f t="shared" si="513"/>
        <v>2.1037611957142109E-3</v>
      </c>
      <c r="Y179" s="241">
        <f t="shared" si="514"/>
        <v>2.221462650726101E-3</v>
      </c>
      <c r="Z179" s="241">
        <f t="shared" si="515"/>
        <v>2.3011911337454684E-3</v>
      </c>
      <c r="AA179" s="241">
        <f t="shared" si="516"/>
        <v>2.2278025563451367E-3</v>
      </c>
      <c r="AB179" s="241">
        <f t="shared" si="517"/>
        <v>2.1957734624930853E-3</v>
      </c>
      <c r="AC179" s="309" t="e">
        <f t="shared" si="510"/>
        <v>#N/A</v>
      </c>
      <c r="AD179" s="309" t="e">
        <f t="shared" si="510"/>
        <v>#N/A</v>
      </c>
      <c r="AE179" s="309" t="e">
        <f t="shared" si="510"/>
        <v>#N/A</v>
      </c>
      <c r="AG179" s="256">
        <f>T179</f>
        <v>2.3821914353188609E-3</v>
      </c>
      <c r="AI179" s="310">
        <f>AG179/$AG$180</f>
        <v>5.4155811035063988E-3</v>
      </c>
      <c r="AJ179" s="310">
        <f t="shared" ref="AJ179:AK179" si="536">AI179</f>
        <v>5.4155811035063988E-3</v>
      </c>
      <c r="AK179" s="310">
        <f t="shared" si="536"/>
        <v>5.4155811035063988E-3</v>
      </c>
      <c r="AL179" s="311"/>
      <c r="AM179" s="310">
        <f t="shared" si="527"/>
        <v>5.4155811035063988E-3</v>
      </c>
      <c r="AN179" s="310">
        <f t="shared" si="522"/>
        <v>5.4155811035063988E-3</v>
      </c>
      <c r="AO179" s="310">
        <f t="shared" si="522"/>
        <v>5.4155811035063988E-3</v>
      </c>
      <c r="AP179" s="311"/>
      <c r="AQ179" s="310">
        <f>AM179</f>
        <v>5.4155811035063988E-3</v>
      </c>
      <c r="AR179" s="310">
        <f t="shared" si="523"/>
        <v>5.4155811035063988E-3</v>
      </c>
      <c r="AS179" s="310">
        <f t="shared" si="523"/>
        <v>5.4155811035063988E-3</v>
      </c>
      <c r="AU179" s="276"/>
    </row>
    <row r="180" spans="1:47">
      <c r="A180" s="185" t="s">
        <v>16</v>
      </c>
      <c r="H180" s="283"/>
      <c r="I180" s="283"/>
      <c r="J180" s="283"/>
      <c r="L180" s="185"/>
      <c r="N180" s="40"/>
      <c r="P180" s="283"/>
      <c r="Q180" s="283"/>
      <c r="R180" s="283"/>
      <c r="S180" s="283"/>
      <c r="T180" s="283"/>
      <c r="X180" s="283"/>
      <c r="Y180" s="283"/>
      <c r="Z180" s="283"/>
      <c r="AA180" s="283"/>
      <c r="AB180" s="283"/>
      <c r="AC180" s="283"/>
      <c r="AD180" s="283"/>
      <c r="AG180" s="256">
        <f>SUM(AG175:AG179)</f>
        <v>0.43987734460785299</v>
      </c>
      <c r="AI180" s="33"/>
      <c r="AJ180" s="33"/>
      <c r="AK180" s="33"/>
    </row>
    <row r="181" spans="1:47">
      <c r="A181" s="185" t="s">
        <v>16</v>
      </c>
      <c r="C181" s="185" t="s">
        <v>145</v>
      </c>
      <c r="E181" s="33">
        <f>SUM(E172:E174)</f>
        <v>0.53662781336486265</v>
      </c>
      <c r="F181" s="33">
        <f t="shared" ref="F181:G181" si="537">SUM(F172:F174)</f>
        <v>0.51264634315578395</v>
      </c>
      <c r="G181" s="33">
        <f t="shared" si="537"/>
        <v>0.53494763381696575</v>
      </c>
      <c r="H181" s="33">
        <f t="shared" ref="H181:J181" si="538">SUM(H172:H174)</f>
        <v>0.53864314807373981</v>
      </c>
      <c r="I181" s="33">
        <f t="shared" si="538"/>
        <v>0.51981403171606366</v>
      </c>
      <c r="J181" s="33">
        <f t="shared" si="538"/>
        <v>0.51483627026488898</v>
      </c>
      <c r="K181" s="33">
        <f>SUM(K172:K174)</f>
        <v>0.56012265539214701</v>
      </c>
      <c r="L181" s="33">
        <f>SUM(L172:L174)</f>
        <v>0.62039620023993525</v>
      </c>
      <c r="M181" s="33">
        <f>SUM(M172:M174)</f>
        <v>0.67472292326129912</v>
      </c>
      <c r="N181" s="40"/>
      <c r="O181" s="33">
        <f>SUM(O172:O174)</f>
        <v>0.51264634315578395</v>
      </c>
      <c r="P181" s="33">
        <f t="shared" ref="P181:S181" si="539">SUM(P172:P174)</f>
        <v>0.53494763381696575</v>
      </c>
      <c r="Q181" s="33">
        <f t="shared" si="539"/>
        <v>0.53864314807373981</v>
      </c>
      <c r="R181" s="33">
        <f t="shared" si="539"/>
        <v>0.51981403171606366</v>
      </c>
      <c r="S181" s="33">
        <f t="shared" si="539"/>
        <v>0.51483627026488898</v>
      </c>
      <c r="T181" s="33">
        <f>SUM(T172:T174)</f>
        <v>0.56012265539214701</v>
      </c>
      <c r="U181" s="33">
        <f>SUM(U172:U174)</f>
        <v>0.62039620023993525</v>
      </c>
      <c r="V181" s="33">
        <f>SUM(V172:V174)</f>
        <v>0.67472292326129912</v>
      </c>
      <c r="X181" s="241">
        <f t="shared" si="513"/>
        <v>0.51264634315578395</v>
      </c>
      <c r="Y181" s="241">
        <f t="shared" si="514"/>
        <v>0.53494763381696575</v>
      </c>
      <c r="Z181" s="241">
        <f t="shared" si="515"/>
        <v>0.53864314807373981</v>
      </c>
      <c r="AA181" s="241">
        <f t="shared" si="516"/>
        <v>0.51981403171606366</v>
      </c>
      <c r="AB181" s="241">
        <f t="shared" si="517"/>
        <v>0.51483627026488898</v>
      </c>
      <c r="AC181" s="309" t="e">
        <f>SUM(AC172:AC174)</f>
        <v>#N/A</v>
      </c>
      <c r="AD181" s="309" t="e">
        <f>SUM(AD172:AD174)</f>
        <v>#N/A</v>
      </c>
      <c r="AE181" s="309" t="e">
        <f>SUM(AE172:AE174)</f>
        <v>#N/A</v>
      </c>
    </row>
    <row r="182" spans="1:47">
      <c r="A182" s="185" t="s">
        <v>16</v>
      </c>
      <c r="B182" s="275"/>
      <c r="C182" s="185" t="s">
        <v>146</v>
      </c>
      <c r="E182" s="33">
        <f t="shared" ref="E182:G182" si="540">1-E181</f>
        <v>0.46337218663513735</v>
      </c>
      <c r="F182" s="33">
        <f t="shared" si="540"/>
        <v>0.48735365684421605</v>
      </c>
      <c r="G182" s="33">
        <f t="shared" si="540"/>
        <v>0.46505236618303425</v>
      </c>
      <c r="H182" s="33">
        <f t="shared" ref="H182:J182" si="541">1-H181</f>
        <v>0.46135685192626019</v>
      </c>
      <c r="I182" s="33">
        <f t="shared" si="541"/>
        <v>0.48018596828393634</v>
      </c>
      <c r="J182" s="33">
        <f t="shared" si="541"/>
        <v>0.48516372973511102</v>
      </c>
      <c r="K182" s="33">
        <f>1-K181</f>
        <v>0.43987734460785299</v>
      </c>
      <c r="L182" s="33">
        <f>1-L181</f>
        <v>0.37960379976006475</v>
      </c>
      <c r="M182" s="33">
        <f>1-M181</f>
        <v>0.32527707673870088</v>
      </c>
      <c r="N182" s="40"/>
      <c r="O182" s="33">
        <f>1-O181</f>
        <v>0.48735365684421605</v>
      </c>
      <c r="P182" s="33">
        <f t="shared" ref="P182:S182" si="542">1-P181</f>
        <v>0.46505236618303425</v>
      </c>
      <c r="Q182" s="33">
        <f t="shared" si="542"/>
        <v>0.46135685192626019</v>
      </c>
      <c r="R182" s="33">
        <f t="shared" si="542"/>
        <v>0.48018596828393634</v>
      </c>
      <c r="S182" s="33">
        <f t="shared" si="542"/>
        <v>0.48516372973511102</v>
      </c>
      <c r="T182" s="33">
        <f>1-T181</f>
        <v>0.43987734460785299</v>
      </c>
      <c r="U182" s="33">
        <f>1-U181</f>
        <v>0.37960379976006475</v>
      </c>
      <c r="V182" s="33">
        <f>1-V181</f>
        <v>0.32527707673870088</v>
      </c>
      <c r="X182" s="241">
        <f t="shared" si="513"/>
        <v>0.48735365684421605</v>
      </c>
      <c r="Y182" s="241">
        <f t="shared" si="514"/>
        <v>0.46505236618303425</v>
      </c>
      <c r="Z182" s="241">
        <f t="shared" si="515"/>
        <v>0.46135685192626019</v>
      </c>
      <c r="AA182" s="241">
        <f t="shared" si="516"/>
        <v>0.48018596828393634</v>
      </c>
      <c r="AB182" s="241">
        <f t="shared" si="517"/>
        <v>0.48516372973511102</v>
      </c>
      <c r="AC182" s="309" t="e">
        <f>1-AC181</f>
        <v>#N/A</v>
      </c>
      <c r="AD182" s="309" t="e">
        <f>1-AD181</f>
        <v>#N/A</v>
      </c>
      <c r="AE182" s="309" t="e">
        <f>1-AE181</f>
        <v>#N/A</v>
      </c>
    </row>
    <row r="183" spans="1:47">
      <c r="A183" s="185" t="s">
        <v>16</v>
      </c>
      <c r="B183" s="275"/>
      <c r="L183" s="185"/>
      <c r="N183" s="40"/>
      <c r="X183" s="24">
        <f t="shared" ref="X183:AB183" si="543">SUM(X161:X162)/SUM(O161:O162)</f>
        <v>1</v>
      </c>
      <c r="Y183" s="24">
        <f t="shared" si="543"/>
        <v>1</v>
      </c>
      <c r="Z183" s="24">
        <f t="shared" si="543"/>
        <v>1</v>
      </c>
      <c r="AA183" s="24">
        <f t="shared" si="543"/>
        <v>1</v>
      </c>
      <c r="AB183" s="24">
        <f t="shared" si="543"/>
        <v>1</v>
      </c>
      <c r="AC183" s="24" t="e">
        <f>SUM(AC161:AC162)/SUM(T161:T162)</f>
        <v>#N/A</v>
      </c>
      <c r="AD183" s="24" t="e">
        <f>SUM(AD161:AD162)/SUM(U161:U162)</f>
        <v>#N/A</v>
      </c>
      <c r="AE183" s="24" t="e">
        <f>SUM(AE161:AE162)/SUM(V161:V162)</f>
        <v>#N/A</v>
      </c>
    </row>
    <row r="184" spans="1:47">
      <c r="A184" s="185" t="s">
        <v>16</v>
      </c>
      <c r="L184" s="185"/>
      <c r="N184" s="40"/>
    </row>
    <row r="185" spans="1:47" ht="15.75" thickBot="1">
      <c r="A185" s="185" t="s">
        <v>16</v>
      </c>
      <c r="C185" s="227" t="s">
        <v>204</v>
      </c>
      <c r="E185" s="7">
        <v>2012</v>
      </c>
      <c r="F185" s="7">
        <f>F4</f>
        <v>2015</v>
      </c>
      <c r="G185" s="7">
        <f>G4</f>
        <v>2017</v>
      </c>
      <c r="H185" s="7">
        <f t="shared" ref="H185:J185" si="544">H4</f>
        <v>2019</v>
      </c>
      <c r="I185" s="7">
        <f t="shared" si="544"/>
        <v>2020</v>
      </c>
      <c r="J185" s="7">
        <f t="shared" si="544"/>
        <v>2021</v>
      </c>
      <c r="K185" s="7">
        <v>2030</v>
      </c>
      <c r="L185" s="7">
        <v>2040</v>
      </c>
      <c r="M185" s="7">
        <v>2050</v>
      </c>
      <c r="N185" s="40"/>
      <c r="O185" s="8">
        <f>O171</f>
        <v>2015</v>
      </c>
      <c r="P185" s="8">
        <f t="shared" ref="P185:V185" si="545">P171</f>
        <v>2017</v>
      </c>
      <c r="Q185" s="8">
        <f t="shared" si="545"/>
        <v>2019</v>
      </c>
      <c r="R185" s="8">
        <f t="shared" si="545"/>
        <v>2020</v>
      </c>
      <c r="S185" s="8">
        <f t="shared" si="545"/>
        <v>2021</v>
      </c>
      <c r="T185" s="8">
        <f t="shared" si="545"/>
        <v>2030</v>
      </c>
      <c r="U185" s="8">
        <f t="shared" si="545"/>
        <v>2040</v>
      </c>
      <c r="V185" s="8">
        <f t="shared" si="545"/>
        <v>2050</v>
      </c>
      <c r="W185" s="185">
        <f>W4</f>
        <v>0</v>
      </c>
      <c r="X185" s="185">
        <f>X4</f>
        <v>0</v>
      </c>
      <c r="Y185" s="283">
        <f t="shared" ref="Y185:AR185" si="546">Y4</f>
        <v>0</v>
      </c>
      <c r="Z185" s="283">
        <f t="shared" si="546"/>
        <v>0</v>
      </c>
      <c r="AA185" s="283">
        <f t="shared" si="546"/>
        <v>0</v>
      </c>
      <c r="AB185" s="283">
        <f t="shared" si="546"/>
        <v>0</v>
      </c>
      <c r="AC185" s="283">
        <f t="shared" si="546"/>
        <v>0</v>
      </c>
      <c r="AD185" s="283">
        <f t="shared" si="546"/>
        <v>0</v>
      </c>
      <c r="AE185" s="283">
        <f t="shared" si="546"/>
        <v>0</v>
      </c>
      <c r="AF185" s="283">
        <f t="shared" si="546"/>
        <v>0</v>
      </c>
      <c r="AG185" s="283">
        <f t="shared" si="546"/>
        <v>0</v>
      </c>
      <c r="AH185" s="283">
        <f t="shared" si="546"/>
        <v>0</v>
      </c>
      <c r="AI185" s="283">
        <f t="shared" si="546"/>
        <v>0</v>
      </c>
      <c r="AJ185" s="283">
        <f t="shared" si="546"/>
        <v>0</v>
      </c>
      <c r="AK185" s="283">
        <f t="shared" si="546"/>
        <v>0</v>
      </c>
      <c r="AL185" s="283">
        <f t="shared" si="546"/>
        <v>0</v>
      </c>
      <c r="AM185" s="283">
        <f t="shared" si="546"/>
        <v>0</v>
      </c>
      <c r="AN185" s="283">
        <f t="shared" si="546"/>
        <v>0</v>
      </c>
      <c r="AO185" s="283">
        <f t="shared" si="546"/>
        <v>0</v>
      </c>
      <c r="AP185" s="283">
        <f t="shared" si="546"/>
        <v>0</v>
      </c>
      <c r="AQ185" s="283">
        <f t="shared" si="546"/>
        <v>0</v>
      </c>
      <c r="AR185" s="283">
        <f t="shared" si="546"/>
        <v>0</v>
      </c>
    </row>
    <row r="186" spans="1:47">
      <c r="A186" s="185" t="s">
        <v>16</v>
      </c>
      <c r="B186" s="185" t="str">
        <f>B149</f>
        <v>TPPRCAR</v>
      </c>
      <c r="C186" s="185" t="str">
        <f>C149</f>
        <v>Car Priv.Veh. Vehicle km</v>
      </c>
      <c r="E186" s="300">
        <f t="shared" ref="E186:G193" si="547">E149</f>
        <v>81.484814157071753</v>
      </c>
      <c r="F186" s="10">
        <f>F149</f>
        <v>89.101204723506044</v>
      </c>
      <c r="G186" s="186">
        <f>G149</f>
        <v>93.525978660206817</v>
      </c>
      <c r="H186" s="186">
        <f>H149</f>
        <v>97.842472415001637</v>
      </c>
      <c r="I186" s="186">
        <f t="shared" ref="I186:J186" si="548">I149</f>
        <v>93.746622585597407</v>
      </c>
      <c r="J186" s="186">
        <f t="shared" si="548"/>
        <v>94.284516099271045</v>
      </c>
      <c r="K186" s="10">
        <f t="shared" ref="K186:M193" si="549">K149</f>
        <v>120.51309082508857</v>
      </c>
      <c r="L186" s="10">
        <f t="shared" si="549"/>
        <v>159.42735199452704</v>
      </c>
      <c r="M186" s="10">
        <f t="shared" si="549"/>
        <v>201.47652123005676</v>
      </c>
      <c r="N186" s="40"/>
      <c r="O186" s="233">
        <f>IF(O$113&lt;=$I$148,($I186-$F186)/10,IF(AND(O$113&gt;$I$148,O$113&lt;=$K$148),($K186-$I186)/10,IF(AND(O$113&gt;$K$148,O$113&lt;=$L$148),($L186-$K186)/2,($M186-$L186)/2)))+E186</f>
        <v>81.949355943280892</v>
      </c>
      <c r="P186" s="233">
        <f>IF(P$148&lt;=$I$148,($I186-$F186)/10,IF(AND(P$148&gt;$I$148,P$148&lt;=$K$148),($K186-$I186)/10,IF(AND(P$148&gt;$K$148,P$148&lt;=$L$148),($L186-$K186)/2,($M186-$L186)/2)))+O186</f>
        <v>82.413897729490031</v>
      </c>
      <c r="Q186" s="233">
        <f t="shared" ref="Q186:V186" si="550">IF(Q$148&lt;=$I$148,($I186-$F186)/10,IF(AND(Q$148&gt;$I$148,Q$148&lt;=$K$148),($K186-$I186)/10,IF(AND(Q$148&gt;$K$148,Q$148&lt;=$L$148),($L186-$K186)/2,($M186-$L186)/2)))+P186</f>
        <v>82.878439515699171</v>
      </c>
      <c r="R186" s="233">
        <f t="shared" si="550"/>
        <v>83.34298130190831</v>
      </c>
      <c r="S186" s="233">
        <f t="shared" si="550"/>
        <v>86.019628125857423</v>
      </c>
      <c r="T186" s="306">
        <f t="shared" si="550"/>
        <v>88.696274949806536</v>
      </c>
      <c r="U186" s="306">
        <f t="shared" si="550"/>
        <v>108.15340553452577</v>
      </c>
      <c r="V186" s="306">
        <f t="shared" si="550"/>
        <v>129.17799015229065</v>
      </c>
      <c r="W186" s="233">
        <f>E186</f>
        <v>81.484814157071753</v>
      </c>
      <c r="X186" s="233">
        <f t="shared" ref="X186:X187" si="551">IF(X$148&lt;=$I$148,($I186-$F186)/10,IF(AND(X$148&gt;$I$148,X$148&lt;=$K$148),($K186-$I186)/10,IF(AND(X$148&gt;$K$148,X$148&lt;=$L$148),($L186-$K186)/2,($M186-$L186)/2)))+W186</f>
        <v>81.949355943280892</v>
      </c>
      <c r="Y186" s="233">
        <f t="shared" ref="Y186:AR186" si="552">IF(Y$148&lt;=$I$148,($I186-$F186)/10,IF(AND(Y$148&gt;$I$148,Y$148&lt;=$K$148),($K186-$I186)/10,IF(AND(Y$148&gt;$K$148,Y$148&lt;=$L$148),($L186-$K186)/2,($M186-$L186)/2)))+X186</f>
        <v>82.413897729490031</v>
      </c>
      <c r="Z186" s="233">
        <f t="shared" si="552"/>
        <v>82.878439515699171</v>
      </c>
      <c r="AA186" s="233">
        <f t="shared" si="552"/>
        <v>83.34298130190831</v>
      </c>
      <c r="AB186" s="233">
        <f t="shared" si="552"/>
        <v>86.019628125857423</v>
      </c>
      <c r="AC186" s="233">
        <f t="shared" si="552"/>
        <v>88.696274949806536</v>
      </c>
      <c r="AD186" s="233">
        <f t="shared" si="552"/>
        <v>108.15340553452577</v>
      </c>
      <c r="AE186" s="233">
        <f t="shared" si="552"/>
        <v>129.17799015229065</v>
      </c>
      <c r="AF186" s="233">
        <f t="shared" si="552"/>
        <v>129.64253193849979</v>
      </c>
      <c r="AG186" s="233">
        <f t="shared" si="552"/>
        <v>130.10707372470893</v>
      </c>
      <c r="AH186" s="233">
        <f t="shared" si="552"/>
        <v>130.57161551091806</v>
      </c>
      <c r="AI186" s="233">
        <f t="shared" si="552"/>
        <v>131.0361572971272</v>
      </c>
      <c r="AJ186" s="233">
        <f t="shared" si="552"/>
        <v>131.50069908333634</v>
      </c>
      <c r="AK186" s="233">
        <f t="shared" si="552"/>
        <v>131.96524086954548</v>
      </c>
      <c r="AL186" s="233">
        <f t="shared" si="552"/>
        <v>132.42978265575462</v>
      </c>
      <c r="AM186" s="233">
        <f t="shared" si="552"/>
        <v>132.89432444196376</v>
      </c>
      <c r="AN186" s="233">
        <f t="shared" si="552"/>
        <v>133.3588662281729</v>
      </c>
      <c r="AO186" s="233">
        <f t="shared" si="552"/>
        <v>133.82340801438204</v>
      </c>
      <c r="AP186" s="233">
        <f t="shared" si="552"/>
        <v>134.28794980059118</v>
      </c>
      <c r="AQ186" s="233">
        <f t="shared" si="552"/>
        <v>134.75249158680032</v>
      </c>
      <c r="AR186" s="233">
        <f t="shared" si="552"/>
        <v>135.21703337300946</v>
      </c>
      <c r="AS186" s="233"/>
      <c r="AT186" s="233"/>
      <c r="AU186" s="233"/>
    </row>
    <row r="187" spans="1:47">
      <c r="A187" s="185" t="s">
        <v>16</v>
      </c>
      <c r="B187" s="185" t="str">
        <f t="shared" ref="B187:C193" si="553">B150</f>
        <v>TPPRSUV</v>
      </c>
      <c r="C187" s="185" t="str">
        <f t="shared" si="553"/>
        <v>SUV Priv.Veh. Vehicle km</v>
      </c>
      <c r="E187" s="300">
        <f t="shared" si="547"/>
        <v>9.3562062912418789</v>
      </c>
      <c r="F187" s="10">
        <f t="shared" si="547"/>
        <v>10.230731465918778</v>
      </c>
      <c r="G187" s="10">
        <f t="shared" si="547"/>
        <v>10.69044815578722</v>
      </c>
      <c r="H187" s="10">
        <f t="shared" ref="H187:J187" si="554">H150</f>
        <v>11.183843182083237</v>
      </c>
      <c r="I187" s="10">
        <f t="shared" si="554"/>
        <v>10.715668768060601</v>
      </c>
      <c r="J187" s="10">
        <f t="shared" si="554"/>
        <v>10.777152462790532</v>
      </c>
      <c r="K187" s="10">
        <f t="shared" si="549"/>
        <v>13.775198805884775</v>
      </c>
      <c r="L187" s="10">
        <f t="shared" si="549"/>
        <v>18.223277270415711</v>
      </c>
      <c r="M187" s="10">
        <f t="shared" si="549"/>
        <v>23.029690099727446</v>
      </c>
      <c r="N187" s="40"/>
      <c r="O187" s="233">
        <f t="shared" ref="O187:O193" si="555">IF(O$113&lt;=$I$148,($I187-$F187)/10,IF(AND(O$113&gt;$I$148,O$113&lt;=$K$148),($K187-$I187)/10,IF(AND(O$113&gt;$K$148,O$113&lt;=$L$148),($L187-$K187)/2,($M187-$L187)/2)))+E187</f>
        <v>9.4047000214560619</v>
      </c>
      <c r="P187" s="233">
        <f t="shared" ref="P187:V193" si="556">IF(P$148&lt;=$I$148,($I187-$F187)/10,IF(AND(P$148&gt;$I$148,P$148&lt;=$K$148),($K187-$I187)/10,IF(AND(P$148&gt;$K$148,P$148&lt;=$L$148),($L187-$K187)/2,($M187-$L187)/2)))+O187</f>
        <v>9.4531937516702449</v>
      </c>
      <c r="Q187" s="233">
        <f t="shared" si="556"/>
        <v>9.5016874818844279</v>
      </c>
      <c r="R187" s="233">
        <f t="shared" si="556"/>
        <v>9.5501812120986109</v>
      </c>
      <c r="S187" s="233">
        <f t="shared" si="556"/>
        <v>9.8561342158810277</v>
      </c>
      <c r="T187" s="306">
        <f t="shared" si="556"/>
        <v>10.162087219663444</v>
      </c>
      <c r="U187" s="306">
        <f t="shared" si="556"/>
        <v>12.386126451928913</v>
      </c>
      <c r="V187" s="306">
        <f t="shared" si="556"/>
        <v>14.789332866584781</v>
      </c>
      <c r="W187" s="233">
        <f t="shared" ref="W187:W193" si="557">E187</f>
        <v>9.3562062912418789</v>
      </c>
      <c r="X187" s="233">
        <f t="shared" si="551"/>
        <v>9.4047000214560619</v>
      </c>
      <c r="Y187" s="233">
        <f t="shared" ref="Y187:AR187" si="558">IF(Y$148&lt;=$I$148,($I187-$F187)/10,IF(AND(Y$148&gt;$I$148,Y$148&lt;=$K$148),($K187-$I187)/10,IF(AND(Y$148&gt;$K$148,Y$148&lt;=$L$148),($L187-$K187)/2,($M187-$L187)/2)))+X187</f>
        <v>9.4531937516702449</v>
      </c>
      <c r="Z187" s="233">
        <f t="shared" si="558"/>
        <v>9.5016874818844279</v>
      </c>
      <c r="AA187" s="233">
        <f t="shared" si="558"/>
        <v>9.5501812120986109</v>
      </c>
      <c r="AB187" s="233">
        <f t="shared" si="558"/>
        <v>9.8561342158810277</v>
      </c>
      <c r="AC187" s="233">
        <f t="shared" si="558"/>
        <v>10.162087219663444</v>
      </c>
      <c r="AD187" s="233">
        <f t="shared" si="558"/>
        <v>12.386126451928913</v>
      </c>
      <c r="AE187" s="233">
        <f t="shared" si="558"/>
        <v>14.789332866584781</v>
      </c>
      <c r="AF187" s="233">
        <f t="shared" si="558"/>
        <v>14.837826596798964</v>
      </c>
      <c r="AG187" s="233">
        <f t="shared" si="558"/>
        <v>14.886320327013147</v>
      </c>
      <c r="AH187" s="233">
        <f t="shared" si="558"/>
        <v>14.93481405722733</v>
      </c>
      <c r="AI187" s="233">
        <f t="shared" si="558"/>
        <v>14.983307787441513</v>
      </c>
      <c r="AJ187" s="233">
        <f t="shared" si="558"/>
        <v>15.031801517655696</v>
      </c>
      <c r="AK187" s="233">
        <f t="shared" si="558"/>
        <v>15.080295247869879</v>
      </c>
      <c r="AL187" s="233">
        <f t="shared" si="558"/>
        <v>15.128788978084062</v>
      </c>
      <c r="AM187" s="233">
        <f t="shared" si="558"/>
        <v>15.177282708298245</v>
      </c>
      <c r="AN187" s="233">
        <f t="shared" si="558"/>
        <v>15.225776438512428</v>
      </c>
      <c r="AO187" s="233">
        <f t="shared" si="558"/>
        <v>15.274270168726611</v>
      </c>
      <c r="AP187" s="233">
        <f t="shared" si="558"/>
        <v>15.322763898940794</v>
      </c>
      <c r="AQ187" s="233">
        <f t="shared" si="558"/>
        <v>15.371257629154977</v>
      </c>
      <c r="AR187" s="233">
        <f t="shared" si="558"/>
        <v>15.41975135936916</v>
      </c>
      <c r="AS187" s="233"/>
      <c r="AT187" s="233"/>
      <c r="AU187" s="233"/>
    </row>
    <row r="188" spans="1:47">
      <c r="A188" s="185" t="s">
        <v>16</v>
      </c>
      <c r="B188" s="185" t="str">
        <f t="shared" si="553"/>
        <v>TPPRMOT</v>
      </c>
      <c r="C188" s="185" t="str">
        <f t="shared" si="553"/>
        <v>Motorbikes Priv.Veh. Vehicle km</v>
      </c>
      <c r="E188" s="300">
        <f t="shared" si="547"/>
        <v>3.1893877916903843</v>
      </c>
      <c r="F188" s="10">
        <f t="shared" si="547"/>
        <v>3.0845830875962057</v>
      </c>
      <c r="G188" s="10">
        <f t="shared" si="547"/>
        <v>3.2231884582266197</v>
      </c>
      <c r="H188" s="10">
        <f t="shared" ref="H188:J188" si="559">H151</f>
        <v>3.3719479050644807</v>
      </c>
      <c r="I188" s="10">
        <f t="shared" si="559"/>
        <v>3.2307925160925155</v>
      </c>
      <c r="J188" s="10">
        <f t="shared" si="559"/>
        <v>3.2493299555276773</v>
      </c>
      <c r="K188" s="10">
        <f t="shared" si="549"/>
        <v>4.1532460710610311</v>
      </c>
      <c r="L188" s="10">
        <f t="shared" si="549"/>
        <v>5.4943493587095693</v>
      </c>
      <c r="M188" s="10">
        <f t="shared" si="549"/>
        <v>6.9434910720551821</v>
      </c>
      <c r="N188" s="40"/>
      <c r="O188" s="233">
        <f t="shared" si="555"/>
        <v>3.2040087345400154</v>
      </c>
      <c r="P188" s="233">
        <f t="shared" si="556"/>
        <v>3.2186296773896466</v>
      </c>
      <c r="Q188" s="233">
        <f t="shared" si="556"/>
        <v>3.2332506202392777</v>
      </c>
      <c r="R188" s="233">
        <f t="shared" si="556"/>
        <v>3.2478715630889088</v>
      </c>
      <c r="S188" s="233">
        <f t="shared" si="556"/>
        <v>3.3401169185857604</v>
      </c>
      <c r="T188" s="306">
        <f t="shared" si="556"/>
        <v>3.4323622740826121</v>
      </c>
      <c r="U188" s="306">
        <f t="shared" si="556"/>
        <v>4.1029139179068812</v>
      </c>
      <c r="V188" s="306">
        <f t="shared" si="556"/>
        <v>4.8274847745796876</v>
      </c>
      <c r="W188" s="233">
        <f t="shared" si="557"/>
        <v>3.1893877916903843</v>
      </c>
      <c r="X188" s="233">
        <f t="shared" ref="X188" si="560">IF(X$148&lt;=$I$148,($I188-$F188)/10,IF(AND(X$148&gt;$I$148,X$148&lt;=$K$148),($K188-$I188)/10,IF(AND(X$148&gt;$K$148,X$148&lt;=$L$148),($L188-$K188)/2,($M188-$L188)/2)))+W188</f>
        <v>3.2040087345400154</v>
      </c>
      <c r="Y188" s="233">
        <f t="shared" ref="Y188:AR188" si="561">IF(Y$148&lt;=$I$148,($I188-$F188)/10,IF(AND(Y$148&gt;$I$148,Y$148&lt;=$K$148),($K188-$I188)/10,IF(AND(Y$148&gt;$K$148,Y$148&lt;=$L$148),($L188-$K188)/2,($M188-$L188)/2)))+X188</f>
        <v>3.2186296773896466</v>
      </c>
      <c r="Z188" s="233">
        <f t="shared" si="561"/>
        <v>3.2332506202392777</v>
      </c>
      <c r="AA188" s="233">
        <f t="shared" si="561"/>
        <v>3.2478715630889088</v>
      </c>
      <c r="AB188" s="233">
        <f t="shared" si="561"/>
        <v>3.3401169185857604</v>
      </c>
      <c r="AC188" s="233">
        <f t="shared" si="561"/>
        <v>3.4323622740826121</v>
      </c>
      <c r="AD188" s="233">
        <f t="shared" si="561"/>
        <v>4.1029139179068812</v>
      </c>
      <c r="AE188" s="233">
        <f t="shared" si="561"/>
        <v>4.8274847745796876</v>
      </c>
      <c r="AF188" s="233">
        <f t="shared" si="561"/>
        <v>4.8421057174293187</v>
      </c>
      <c r="AG188" s="233">
        <f t="shared" si="561"/>
        <v>4.8567266602789498</v>
      </c>
      <c r="AH188" s="233">
        <f t="shared" si="561"/>
        <v>4.8713476031285809</v>
      </c>
      <c r="AI188" s="233">
        <f t="shared" si="561"/>
        <v>4.8859685459782121</v>
      </c>
      <c r="AJ188" s="233">
        <f t="shared" si="561"/>
        <v>4.9005894888278432</v>
      </c>
      <c r="AK188" s="233">
        <f t="shared" si="561"/>
        <v>4.9152104316774743</v>
      </c>
      <c r="AL188" s="233">
        <f t="shared" si="561"/>
        <v>4.9298313745271054</v>
      </c>
      <c r="AM188" s="233">
        <f t="shared" si="561"/>
        <v>4.9444523173767365</v>
      </c>
      <c r="AN188" s="233">
        <f t="shared" si="561"/>
        <v>4.9590732602263676</v>
      </c>
      <c r="AO188" s="233">
        <f t="shared" si="561"/>
        <v>4.9736942030759987</v>
      </c>
      <c r="AP188" s="233">
        <f t="shared" si="561"/>
        <v>4.9883151459256299</v>
      </c>
      <c r="AQ188" s="233">
        <f t="shared" si="561"/>
        <v>5.002936088775261</v>
      </c>
      <c r="AR188" s="233">
        <f t="shared" si="561"/>
        <v>5.0175570316248921</v>
      </c>
      <c r="AS188" s="233"/>
      <c r="AT188" s="233"/>
      <c r="AU188" s="233"/>
    </row>
    <row r="189" spans="1:47">
      <c r="A189" s="185" t="s">
        <v>16</v>
      </c>
      <c r="B189" s="185" t="str">
        <f t="shared" si="553"/>
        <v>TPPUBUS</v>
      </c>
      <c r="C189" s="185" t="str">
        <f t="shared" si="553"/>
        <v>Bus vehicle km</v>
      </c>
      <c r="E189" s="300">
        <f t="shared" si="547"/>
        <v>0.61799148971758899</v>
      </c>
      <c r="F189" s="10">
        <f t="shared" si="547"/>
        <v>1.1005748482544424</v>
      </c>
      <c r="G189" s="10">
        <f t="shared" si="547"/>
        <v>0.76110381500636504</v>
      </c>
      <c r="H189" s="10">
        <f t="shared" ref="H189:J189" si="562">H152</f>
        <v>0.77888333294641976</v>
      </c>
      <c r="I189" s="10">
        <f t="shared" si="562"/>
        <v>0.80526146705118407</v>
      </c>
      <c r="J189" s="10">
        <f t="shared" si="562"/>
        <v>0.79864085897196158</v>
      </c>
      <c r="K189" s="10">
        <f t="shared" si="549"/>
        <v>0.81217078242076668</v>
      </c>
      <c r="L189" s="10">
        <f t="shared" si="549"/>
        <v>0.7627627587623087</v>
      </c>
      <c r="M189" s="10">
        <f t="shared" si="549"/>
        <v>0.68714843924917279</v>
      </c>
      <c r="N189" s="40"/>
      <c r="O189" s="233">
        <f t="shared" si="555"/>
        <v>0.58846015159726317</v>
      </c>
      <c r="P189" s="233">
        <f t="shared" si="556"/>
        <v>0.55892881347693735</v>
      </c>
      <c r="Q189" s="233">
        <f t="shared" si="556"/>
        <v>0.52939747535661152</v>
      </c>
      <c r="R189" s="233">
        <f t="shared" si="556"/>
        <v>0.4998661372362857</v>
      </c>
      <c r="S189" s="233">
        <f t="shared" si="556"/>
        <v>0.50055706877324391</v>
      </c>
      <c r="T189" s="306">
        <f t="shared" si="556"/>
        <v>0.50124800031020222</v>
      </c>
      <c r="U189" s="306">
        <f t="shared" si="556"/>
        <v>0.47654398848097324</v>
      </c>
      <c r="V189" s="306">
        <f t="shared" si="556"/>
        <v>0.43873682872440528</v>
      </c>
      <c r="W189" s="233">
        <f t="shared" si="557"/>
        <v>0.61799148971758899</v>
      </c>
      <c r="X189" s="233">
        <f t="shared" ref="X189" si="563">IF(X$148&lt;=$I$148,($I189-$F189)/10,IF(AND(X$148&gt;$I$148,X$148&lt;=$K$148),($K189-$I189)/10,IF(AND(X$148&gt;$K$148,X$148&lt;=$L$148),($L189-$K189)/2,($M189-$L189)/2)))+W189</f>
        <v>0.58846015159726317</v>
      </c>
      <c r="Y189" s="233">
        <f t="shared" ref="Y189:AR189" si="564">IF(Y$148&lt;=$I$148,($I189-$F189)/10,IF(AND(Y$148&gt;$I$148,Y$148&lt;=$K$148),($K189-$I189)/10,IF(AND(Y$148&gt;$K$148,Y$148&lt;=$L$148),($L189-$K189)/2,($M189-$L189)/2)))+X189</f>
        <v>0.55892881347693735</v>
      </c>
      <c r="Z189" s="233">
        <f t="shared" si="564"/>
        <v>0.52939747535661152</v>
      </c>
      <c r="AA189" s="233">
        <f t="shared" si="564"/>
        <v>0.4998661372362857</v>
      </c>
      <c r="AB189" s="233">
        <f t="shared" si="564"/>
        <v>0.50055706877324391</v>
      </c>
      <c r="AC189" s="233">
        <f t="shared" si="564"/>
        <v>0.50124800031020222</v>
      </c>
      <c r="AD189" s="233">
        <f t="shared" si="564"/>
        <v>0.47654398848097324</v>
      </c>
      <c r="AE189" s="233">
        <f t="shared" si="564"/>
        <v>0.43873682872440528</v>
      </c>
      <c r="AF189" s="233">
        <f t="shared" si="564"/>
        <v>0.40920549060407946</v>
      </c>
      <c r="AG189" s="233">
        <f t="shared" si="564"/>
        <v>0.37967415248375364</v>
      </c>
      <c r="AH189" s="233">
        <f t="shared" si="564"/>
        <v>0.35014281436342781</v>
      </c>
      <c r="AI189" s="233">
        <f t="shared" si="564"/>
        <v>0.32061147624310199</v>
      </c>
      <c r="AJ189" s="233">
        <f t="shared" si="564"/>
        <v>0.29108013812277617</v>
      </c>
      <c r="AK189" s="233">
        <f t="shared" si="564"/>
        <v>0.26154880000245034</v>
      </c>
      <c r="AL189" s="233">
        <f t="shared" si="564"/>
        <v>0.23201746188212452</v>
      </c>
      <c r="AM189" s="233">
        <f t="shared" si="564"/>
        <v>0.2024861237617987</v>
      </c>
      <c r="AN189" s="233">
        <f t="shared" si="564"/>
        <v>0.17295478564147287</v>
      </c>
      <c r="AO189" s="233">
        <f t="shared" si="564"/>
        <v>0.14342344752114705</v>
      </c>
      <c r="AP189" s="233">
        <f t="shared" si="564"/>
        <v>0.11389210940082121</v>
      </c>
      <c r="AQ189" s="233">
        <f t="shared" si="564"/>
        <v>8.4360771280495378E-2</v>
      </c>
      <c r="AR189" s="233">
        <f t="shared" si="564"/>
        <v>5.4829433160169541E-2</v>
      </c>
      <c r="AS189" s="233"/>
      <c r="AT189" s="233"/>
      <c r="AU189" s="233"/>
    </row>
    <row r="190" spans="1:47">
      <c r="A190" s="185" t="s">
        <v>16</v>
      </c>
      <c r="B190" s="185" t="str">
        <f t="shared" si="553"/>
        <v>TPPUMBT</v>
      </c>
      <c r="C190" s="185" t="str">
        <f t="shared" si="553"/>
        <v>Minibus vehicle km</v>
      </c>
      <c r="E190" s="300">
        <f t="shared" si="547"/>
        <v>5.9130328062411968</v>
      </c>
      <c r="F190" s="10">
        <f t="shared" si="547"/>
        <v>6.8127701567981385</v>
      </c>
      <c r="G190" s="10">
        <f t="shared" si="547"/>
        <v>7.1904474800915041</v>
      </c>
      <c r="H190" s="10">
        <f t="shared" ref="H190:J190" si="565">H153</f>
        <v>7.3584175880435181</v>
      </c>
      <c r="I190" s="10">
        <f t="shared" si="565"/>
        <v>7.6076222092311436</v>
      </c>
      <c r="J190" s="10">
        <f t="shared" si="565"/>
        <v>7.5450747173630077</v>
      </c>
      <c r="K190" s="10">
        <f t="shared" si="549"/>
        <v>7.6728972325707065</v>
      </c>
      <c r="L190" s="10">
        <f t="shared" si="549"/>
        <v>7.2061201750831048</v>
      </c>
      <c r="M190" s="10">
        <f t="shared" si="549"/>
        <v>6.4917619200301919</v>
      </c>
      <c r="N190" s="40"/>
      <c r="O190" s="233">
        <f t="shared" si="555"/>
        <v>5.9925180114844974</v>
      </c>
      <c r="P190" s="233">
        <f t="shared" si="556"/>
        <v>6.072003216727798</v>
      </c>
      <c r="Q190" s="233">
        <f t="shared" si="556"/>
        <v>6.1514884219710986</v>
      </c>
      <c r="R190" s="233">
        <f t="shared" si="556"/>
        <v>6.2309736272143992</v>
      </c>
      <c r="S190" s="233">
        <f t="shared" si="556"/>
        <v>6.2375011295483551</v>
      </c>
      <c r="T190" s="306">
        <f t="shared" si="556"/>
        <v>6.2440286318823111</v>
      </c>
      <c r="U190" s="306">
        <f t="shared" si="556"/>
        <v>6.0106401031385097</v>
      </c>
      <c r="V190" s="306">
        <f t="shared" si="556"/>
        <v>5.6534609756120533</v>
      </c>
      <c r="W190" s="233">
        <f t="shared" si="557"/>
        <v>5.9130328062411968</v>
      </c>
      <c r="X190" s="233">
        <f t="shared" ref="X190" si="566">IF(X$148&lt;=$I$148,($I190-$F190)/10,IF(AND(X$148&gt;$I$148,X$148&lt;=$K$148),($K190-$I190)/10,IF(AND(X$148&gt;$K$148,X$148&lt;=$L$148),($L190-$K190)/2,($M190-$L190)/2)))+W190</f>
        <v>5.9925180114844974</v>
      </c>
      <c r="Y190" s="233">
        <f t="shared" ref="Y190:AR190" si="567">IF(Y$148&lt;=$I$148,($I190-$F190)/10,IF(AND(Y$148&gt;$I$148,Y$148&lt;=$K$148),($K190-$I190)/10,IF(AND(Y$148&gt;$K$148,Y$148&lt;=$L$148),($L190-$K190)/2,($M190-$L190)/2)))+X190</f>
        <v>6.072003216727798</v>
      </c>
      <c r="Z190" s="233">
        <f t="shared" si="567"/>
        <v>6.1514884219710986</v>
      </c>
      <c r="AA190" s="233">
        <f t="shared" si="567"/>
        <v>6.2309736272143992</v>
      </c>
      <c r="AB190" s="233">
        <f t="shared" si="567"/>
        <v>6.2375011295483551</v>
      </c>
      <c r="AC190" s="233">
        <f t="shared" si="567"/>
        <v>6.2440286318823111</v>
      </c>
      <c r="AD190" s="233">
        <f t="shared" si="567"/>
        <v>6.0106401031385097</v>
      </c>
      <c r="AE190" s="233">
        <f t="shared" si="567"/>
        <v>5.6534609756120533</v>
      </c>
      <c r="AF190" s="233">
        <f t="shared" si="567"/>
        <v>5.7329461808553539</v>
      </c>
      <c r="AG190" s="233">
        <f t="shared" si="567"/>
        <v>5.8124313860986545</v>
      </c>
      <c r="AH190" s="233">
        <f t="shared" si="567"/>
        <v>5.8919165913419551</v>
      </c>
      <c r="AI190" s="233">
        <f t="shared" si="567"/>
        <v>5.9714017965852557</v>
      </c>
      <c r="AJ190" s="233">
        <f t="shared" si="567"/>
        <v>6.0508870018285563</v>
      </c>
      <c r="AK190" s="233">
        <f t="shared" si="567"/>
        <v>6.1303722070718569</v>
      </c>
      <c r="AL190" s="233">
        <f t="shared" si="567"/>
        <v>6.2098574123151575</v>
      </c>
      <c r="AM190" s="233">
        <f t="shared" si="567"/>
        <v>6.2893426175584581</v>
      </c>
      <c r="AN190" s="233">
        <f t="shared" si="567"/>
        <v>6.3688278228017587</v>
      </c>
      <c r="AO190" s="233">
        <f t="shared" si="567"/>
        <v>6.4483130280450593</v>
      </c>
      <c r="AP190" s="233">
        <f t="shared" si="567"/>
        <v>6.52779823328836</v>
      </c>
      <c r="AQ190" s="233">
        <f t="shared" si="567"/>
        <v>6.6072834385316606</v>
      </c>
      <c r="AR190" s="233">
        <f t="shared" si="567"/>
        <v>6.6867686437749612</v>
      </c>
      <c r="AS190" s="233"/>
      <c r="AT190" s="233"/>
      <c r="AU190" s="233"/>
    </row>
    <row r="191" spans="1:47">
      <c r="A191" s="185" t="s">
        <v>16</v>
      </c>
      <c r="B191" s="185" t="str">
        <f t="shared" si="553"/>
        <v>TPPUBRT</v>
      </c>
      <c r="C191" s="185" t="str">
        <f t="shared" si="553"/>
        <v>BRT vehicle km</v>
      </c>
      <c r="E191" s="300">
        <f t="shared" si="547"/>
        <v>2.1087604842955274E-2</v>
      </c>
      <c r="F191" s="10">
        <f t="shared" si="547"/>
        <v>3.1269715527094177E-2</v>
      </c>
      <c r="G191" s="10">
        <f t="shared" si="547"/>
        <v>6.2919830609995675E-2</v>
      </c>
      <c r="H191" s="10">
        <f t="shared" ref="H191:J191" si="568">H154</f>
        <v>0.10155968711451488</v>
      </c>
      <c r="I191" s="10">
        <f t="shared" si="568"/>
        <v>0.10425069329756113</v>
      </c>
      <c r="J191" s="10">
        <f t="shared" si="568"/>
        <v>0.29374525410217339</v>
      </c>
      <c r="K191" s="10">
        <f t="shared" si="549"/>
        <v>0.56778336073069768</v>
      </c>
      <c r="L191" s="10">
        <f t="shared" si="549"/>
        <v>1.0794151821685656</v>
      </c>
      <c r="M191" s="10">
        <f t="shared" si="549"/>
        <v>1.5545745187505957</v>
      </c>
      <c r="N191" s="40"/>
      <c r="O191" s="233">
        <f t="shared" si="555"/>
        <v>2.8385702620001972E-2</v>
      </c>
      <c r="P191" s="233">
        <f t="shared" si="556"/>
        <v>3.5683800397048666E-2</v>
      </c>
      <c r="Q191" s="233">
        <f t="shared" si="556"/>
        <v>4.2981898174095361E-2</v>
      </c>
      <c r="R191" s="233">
        <f t="shared" si="556"/>
        <v>5.0279995951142055E-2</v>
      </c>
      <c r="S191" s="233">
        <f t="shared" si="556"/>
        <v>9.6633262694455713E-2</v>
      </c>
      <c r="T191" s="306">
        <f t="shared" si="556"/>
        <v>0.14298652943776935</v>
      </c>
      <c r="U191" s="306">
        <f t="shared" si="556"/>
        <v>0.3988024401567033</v>
      </c>
      <c r="V191" s="306">
        <f t="shared" si="556"/>
        <v>0.63638210844771836</v>
      </c>
      <c r="W191" s="233">
        <f t="shared" si="557"/>
        <v>2.1087604842955274E-2</v>
      </c>
      <c r="X191" s="233">
        <f t="shared" ref="X191" si="569">IF(X$148&lt;=$I$148,($I191-$F191)/10,IF(AND(X$148&gt;$I$148,X$148&lt;=$K$148),($K191-$I191)/10,IF(AND(X$148&gt;$K$148,X$148&lt;=$L$148),($L191-$K191)/2,($M191-$L191)/2)))+W191</f>
        <v>2.8385702620001972E-2</v>
      </c>
      <c r="Y191" s="233">
        <f t="shared" ref="Y191:AR191" si="570">IF(Y$148&lt;=$I$148,($I191-$F191)/10,IF(AND(Y$148&gt;$I$148,Y$148&lt;=$K$148),($K191-$I191)/10,IF(AND(Y$148&gt;$K$148,Y$148&lt;=$L$148),($L191-$K191)/2,($M191-$L191)/2)))+X191</f>
        <v>3.5683800397048666E-2</v>
      </c>
      <c r="Z191" s="233">
        <f t="shared" si="570"/>
        <v>4.2981898174095361E-2</v>
      </c>
      <c r="AA191" s="233">
        <f t="shared" si="570"/>
        <v>5.0279995951142055E-2</v>
      </c>
      <c r="AB191" s="233">
        <f t="shared" si="570"/>
        <v>9.6633262694455713E-2</v>
      </c>
      <c r="AC191" s="233">
        <f t="shared" si="570"/>
        <v>0.14298652943776935</v>
      </c>
      <c r="AD191" s="233">
        <f t="shared" si="570"/>
        <v>0.3988024401567033</v>
      </c>
      <c r="AE191" s="233">
        <f t="shared" si="570"/>
        <v>0.63638210844771836</v>
      </c>
      <c r="AF191" s="233">
        <f t="shared" si="570"/>
        <v>0.64368020622476507</v>
      </c>
      <c r="AG191" s="233">
        <f t="shared" si="570"/>
        <v>0.65097830400181178</v>
      </c>
      <c r="AH191" s="233">
        <f t="shared" si="570"/>
        <v>0.65827640177885849</v>
      </c>
      <c r="AI191" s="233">
        <f t="shared" si="570"/>
        <v>0.6655744995559052</v>
      </c>
      <c r="AJ191" s="233">
        <f t="shared" si="570"/>
        <v>0.67287259733295191</v>
      </c>
      <c r="AK191" s="233">
        <f t="shared" si="570"/>
        <v>0.68017069510999861</v>
      </c>
      <c r="AL191" s="233">
        <f t="shared" si="570"/>
        <v>0.68746879288704532</v>
      </c>
      <c r="AM191" s="233">
        <f t="shared" si="570"/>
        <v>0.69476689066409203</v>
      </c>
      <c r="AN191" s="233">
        <f t="shared" si="570"/>
        <v>0.70206498844113874</v>
      </c>
      <c r="AO191" s="233">
        <f t="shared" si="570"/>
        <v>0.70936308621818545</v>
      </c>
      <c r="AP191" s="233">
        <f t="shared" si="570"/>
        <v>0.71666118399523215</v>
      </c>
      <c r="AQ191" s="233">
        <f t="shared" si="570"/>
        <v>0.72395928177227886</v>
      </c>
      <c r="AR191" s="233">
        <f t="shared" si="570"/>
        <v>0.73125737954932557</v>
      </c>
      <c r="AS191" s="233"/>
      <c r="AT191" s="233"/>
      <c r="AU191" s="233"/>
    </row>
    <row r="192" spans="1:47">
      <c r="A192" s="185" t="s">
        <v>16</v>
      </c>
      <c r="B192" s="185" t="str">
        <f t="shared" si="553"/>
        <v>TPPUMER</v>
      </c>
      <c r="C192" s="185" t="str">
        <f t="shared" si="553"/>
        <v>Metro Rail pkm</v>
      </c>
      <c r="E192" s="300">
        <f t="shared" si="547"/>
        <v>14.377943324329372</v>
      </c>
      <c r="F192" s="10">
        <f t="shared" si="547"/>
        <v>12.045661044795077</v>
      </c>
      <c r="G192" s="10">
        <f t="shared" si="547"/>
        <v>8.8709735194998576</v>
      </c>
      <c r="H192" s="10">
        <f t="shared" ref="H192:J192" si="571">H155</f>
        <v>9.0782010090038749</v>
      </c>
      <c r="I192" s="10">
        <f t="shared" si="571"/>
        <v>9.3856488558330522</v>
      </c>
      <c r="J192" s="10">
        <f t="shared" si="571"/>
        <v>9.3084829846394115</v>
      </c>
      <c r="K192" s="10">
        <f t="shared" si="549"/>
        <v>9.4661797275393322</v>
      </c>
      <c r="L192" s="10">
        <f t="shared" si="549"/>
        <v>8.8903091815201449</v>
      </c>
      <c r="M192" s="10">
        <f t="shared" si="549"/>
        <v>8.0089936331406903</v>
      </c>
      <c r="N192" s="40"/>
      <c r="O192" s="233">
        <f t="shared" si="555"/>
        <v>14.111942105433171</v>
      </c>
      <c r="P192" s="233">
        <f t="shared" si="556"/>
        <v>13.845940886536969</v>
      </c>
      <c r="Q192" s="233">
        <f t="shared" si="556"/>
        <v>13.579939667640767</v>
      </c>
      <c r="R192" s="233">
        <f t="shared" si="556"/>
        <v>13.313938448744565</v>
      </c>
      <c r="S192" s="233">
        <f t="shared" si="556"/>
        <v>13.321991535915194</v>
      </c>
      <c r="T192" s="306">
        <f t="shared" si="556"/>
        <v>13.330044623085822</v>
      </c>
      <c r="U192" s="306">
        <f t="shared" si="556"/>
        <v>13.042109350076228</v>
      </c>
      <c r="V192" s="306">
        <f t="shared" si="556"/>
        <v>12.6014515758865</v>
      </c>
      <c r="W192" s="233">
        <f t="shared" si="557"/>
        <v>14.377943324329372</v>
      </c>
      <c r="X192" s="233">
        <f t="shared" ref="X192" si="572">IF(X$148&lt;=$I$148,($I192-$F192)/10,IF(AND(X$148&gt;$I$148,X$148&lt;=$K$148),($K192-$I192)/10,IF(AND(X$148&gt;$K$148,X$148&lt;=$L$148),($L192-$K192)/2,($M192-$L192)/2)))+W192</f>
        <v>14.111942105433171</v>
      </c>
      <c r="Y192" s="233">
        <f t="shared" ref="Y192:AR192" si="573">IF(Y$148&lt;=$I$148,($I192-$F192)/10,IF(AND(Y$148&gt;$I$148,Y$148&lt;=$K$148),($K192-$I192)/10,IF(AND(Y$148&gt;$K$148,Y$148&lt;=$L$148),($L192-$K192)/2,($M192-$L192)/2)))+X192</f>
        <v>13.845940886536969</v>
      </c>
      <c r="Z192" s="233">
        <f t="shared" si="573"/>
        <v>13.579939667640767</v>
      </c>
      <c r="AA192" s="233">
        <f t="shared" si="573"/>
        <v>13.313938448744565</v>
      </c>
      <c r="AB192" s="233">
        <f t="shared" si="573"/>
        <v>13.321991535915194</v>
      </c>
      <c r="AC192" s="233">
        <f t="shared" si="573"/>
        <v>13.330044623085822</v>
      </c>
      <c r="AD192" s="233">
        <f t="shared" si="573"/>
        <v>13.042109350076228</v>
      </c>
      <c r="AE192" s="233">
        <f t="shared" si="573"/>
        <v>12.6014515758865</v>
      </c>
      <c r="AF192" s="233">
        <f t="shared" si="573"/>
        <v>12.335450356990298</v>
      </c>
      <c r="AG192" s="233">
        <f t="shared" si="573"/>
        <v>12.069449138094097</v>
      </c>
      <c r="AH192" s="233">
        <f t="shared" si="573"/>
        <v>11.803447919197895</v>
      </c>
      <c r="AI192" s="233">
        <f t="shared" si="573"/>
        <v>11.537446700301693</v>
      </c>
      <c r="AJ192" s="233">
        <f t="shared" si="573"/>
        <v>11.271445481405491</v>
      </c>
      <c r="AK192" s="233">
        <f t="shared" si="573"/>
        <v>11.00544426250929</v>
      </c>
      <c r="AL192" s="233">
        <f t="shared" si="573"/>
        <v>10.739443043613088</v>
      </c>
      <c r="AM192" s="233">
        <f t="shared" si="573"/>
        <v>10.473441824716886</v>
      </c>
      <c r="AN192" s="233">
        <f t="shared" si="573"/>
        <v>10.207440605820684</v>
      </c>
      <c r="AO192" s="233">
        <f t="shared" si="573"/>
        <v>9.9414393869244826</v>
      </c>
      <c r="AP192" s="233">
        <f t="shared" si="573"/>
        <v>9.6754381680282808</v>
      </c>
      <c r="AQ192" s="233">
        <f t="shared" si="573"/>
        <v>9.4094369491320791</v>
      </c>
      <c r="AR192" s="233">
        <f t="shared" si="573"/>
        <v>9.1434357302358773</v>
      </c>
      <c r="AS192" s="233"/>
      <c r="AT192" s="233"/>
      <c r="AU192" s="233"/>
    </row>
    <row r="193" spans="1:61">
      <c r="A193" s="185" t="s">
        <v>16</v>
      </c>
      <c r="B193" s="185" t="str">
        <f t="shared" si="553"/>
        <v>TPPUGAT</v>
      </c>
      <c r="C193" s="185" t="str">
        <f t="shared" si="553"/>
        <v>Gautrain pkm</v>
      </c>
      <c r="E193" s="300">
        <f t="shared" si="547"/>
        <v>0.53452578037785492</v>
      </c>
      <c r="F193" s="10">
        <f t="shared" si="547"/>
        <v>0.58840536503250629</v>
      </c>
      <c r="G193" s="10">
        <f t="shared" si="547"/>
        <v>0.62462624083765128</v>
      </c>
      <c r="H193" s="10">
        <f t="shared" ref="H193:J193" si="574">H156</f>
        <v>0.67226296980162004</v>
      </c>
      <c r="I193" s="10">
        <f t="shared" si="574"/>
        <v>0.64616666359533781</v>
      </c>
      <c r="J193" s="10">
        <f t="shared" si="574"/>
        <v>0.64672402075743496</v>
      </c>
      <c r="K193" s="10">
        <f t="shared" si="549"/>
        <v>0.82430505614031691</v>
      </c>
      <c r="L193" s="10">
        <f t="shared" si="549"/>
        <v>1.0556620991476746</v>
      </c>
      <c r="M193" s="10">
        <f t="shared" si="549"/>
        <v>1.2746406348095956</v>
      </c>
      <c r="N193" s="40"/>
      <c r="O193" s="233">
        <f t="shared" si="555"/>
        <v>0.54030191023413809</v>
      </c>
      <c r="P193" s="233">
        <f t="shared" si="556"/>
        <v>0.54607804009042127</v>
      </c>
      <c r="Q193" s="233">
        <f t="shared" si="556"/>
        <v>0.55185416994670444</v>
      </c>
      <c r="R193" s="233">
        <f t="shared" si="556"/>
        <v>0.55763029980298762</v>
      </c>
      <c r="S193" s="233">
        <f t="shared" si="556"/>
        <v>0.57544413905748548</v>
      </c>
      <c r="T193" s="306">
        <f t="shared" si="556"/>
        <v>0.59325797831198335</v>
      </c>
      <c r="U193" s="306">
        <f t="shared" si="556"/>
        <v>0.7089364998156622</v>
      </c>
      <c r="V193" s="306">
        <f t="shared" si="556"/>
        <v>0.81842576764662267</v>
      </c>
      <c r="W193" s="233">
        <f t="shared" si="557"/>
        <v>0.53452578037785492</v>
      </c>
      <c r="X193" s="233">
        <f t="shared" ref="X193" si="575">IF(X$148&lt;=$I$148,($I193-$F193)/10,IF(AND(X$148&gt;$I$148,X$148&lt;=$K$148),($K193-$I193)/10,IF(AND(X$148&gt;$K$148,X$148&lt;=$L$148),($L193-$K193)/2,($M193-$L193)/2)))+W193</f>
        <v>0.54030191023413809</v>
      </c>
      <c r="Y193" s="233">
        <f t="shared" ref="Y193:AR193" si="576">IF(Y$148&lt;=$I$148,($I193-$F193)/10,IF(AND(Y$148&gt;$I$148,Y$148&lt;=$K$148),($K193-$I193)/10,IF(AND(Y$148&gt;$K$148,Y$148&lt;=$L$148),($L193-$K193)/2,($M193-$L193)/2)))+X193</f>
        <v>0.54607804009042127</v>
      </c>
      <c r="Z193" s="233">
        <f t="shared" si="576"/>
        <v>0.55185416994670444</v>
      </c>
      <c r="AA193" s="233">
        <f t="shared" si="576"/>
        <v>0.55763029980298762</v>
      </c>
      <c r="AB193" s="233">
        <f t="shared" si="576"/>
        <v>0.57544413905748548</v>
      </c>
      <c r="AC193" s="233">
        <f t="shared" si="576"/>
        <v>0.59325797831198335</v>
      </c>
      <c r="AD193" s="233">
        <f t="shared" si="576"/>
        <v>0.7089364998156622</v>
      </c>
      <c r="AE193" s="233">
        <f t="shared" si="576"/>
        <v>0.81842576764662267</v>
      </c>
      <c r="AF193" s="233">
        <f t="shared" si="576"/>
        <v>0.82420189750290584</v>
      </c>
      <c r="AG193" s="233">
        <f t="shared" si="576"/>
        <v>0.82997802735918902</v>
      </c>
      <c r="AH193" s="233">
        <f t="shared" si="576"/>
        <v>0.83575415721547219</v>
      </c>
      <c r="AI193" s="233">
        <f t="shared" si="576"/>
        <v>0.84153028707175537</v>
      </c>
      <c r="AJ193" s="233">
        <f t="shared" si="576"/>
        <v>0.84730641692803854</v>
      </c>
      <c r="AK193" s="233">
        <f t="shared" si="576"/>
        <v>0.85308254678432172</v>
      </c>
      <c r="AL193" s="233">
        <f t="shared" si="576"/>
        <v>0.85885867664060489</v>
      </c>
      <c r="AM193" s="233">
        <f t="shared" si="576"/>
        <v>0.86463480649688806</v>
      </c>
      <c r="AN193" s="233">
        <f t="shared" si="576"/>
        <v>0.87041093635317124</v>
      </c>
      <c r="AO193" s="233">
        <f t="shared" si="576"/>
        <v>0.87618706620945441</v>
      </c>
      <c r="AP193" s="233">
        <f t="shared" si="576"/>
        <v>0.88196319606573759</v>
      </c>
      <c r="AQ193" s="233">
        <f t="shared" si="576"/>
        <v>0.88773932592202076</v>
      </c>
      <c r="AR193" s="233">
        <f t="shared" si="576"/>
        <v>0.89351545577830394</v>
      </c>
      <c r="AS193" s="233"/>
      <c r="AT193" s="233"/>
      <c r="AU193" s="233"/>
    </row>
    <row r="194" spans="1:61">
      <c r="E194" s="10"/>
      <c r="F194" s="10"/>
      <c r="G194" s="10"/>
      <c r="I194" s="10"/>
      <c r="K194" s="10"/>
      <c r="L194" s="10"/>
      <c r="M194" s="10"/>
      <c r="N194" s="40"/>
      <c r="O194" s="233"/>
      <c r="R194" s="233"/>
      <c r="T194" s="233"/>
      <c r="U194" s="233"/>
      <c r="V194" s="233"/>
      <c r="W194" s="233"/>
      <c r="X194" s="233"/>
      <c r="AA194" s="233"/>
      <c r="AB194" s="233"/>
      <c r="AD194" s="233"/>
      <c r="AE194" s="233"/>
      <c r="AF194" s="233"/>
      <c r="AG194" s="233"/>
      <c r="AH194" s="233"/>
      <c r="AI194" s="233"/>
      <c r="AJ194" s="233"/>
      <c r="AK194" s="233"/>
      <c r="AL194" s="233"/>
      <c r="AM194" s="233"/>
      <c r="AN194" s="233"/>
      <c r="AO194" s="233"/>
      <c r="AP194" s="233"/>
      <c r="AQ194" s="233"/>
      <c r="AR194" s="233"/>
      <c r="AS194" s="233"/>
      <c r="AT194" s="233"/>
      <c r="AU194" s="233"/>
    </row>
    <row r="195" spans="1:61" ht="23.25">
      <c r="A195" s="185" t="s">
        <v>16</v>
      </c>
      <c r="B195" s="16" t="s">
        <v>18</v>
      </c>
      <c r="C195" s="16" t="s">
        <v>19</v>
      </c>
      <c r="D195" s="16" t="s">
        <v>20</v>
      </c>
      <c r="E195" s="16" t="s">
        <v>21</v>
      </c>
      <c r="F195" s="16" t="s">
        <v>22</v>
      </c>
      <c r="G195" s="16" t="s">
        <v>23</v>
      </c>
      <c r="H195" s="16" t="s">
        <v>24</v>
      </c>
      <c r="I195" s="16" t="s">
        <v>617</v>
      </c>
      <c r="J195" s="16" t="s">
        <v>652</v>
      </c>
      <c r="K195" s="16" t="s">
        <v>653</v>
      </c>
      <c r="L195" s="17" t="s">
        <v>25</v>
      </c>
      <c r="M195" s="18">
        <v>2012</v>
      </c>
      <c r="N195" s="18">
        <f t="shared" ref="N195:AO195" si="577">1+M195</f>
        <v>2013</v>
      </c>
      <c r="O195" s="18">
        <f t="shared" si="577"/>
        <v>2014</v>
      </c>
      <c r="P195" s="18">
        <f>1+O195</f>
        <v>2015</v>
      </c>
      <c r="Q195" s="18">
        <f t="shared" si="577"/>
        <v>2016</v>
      </c>
      <c r="R195" s="18">
        <f t="shared" si="577"/>
        <v>2017</v>
      </c>
      <c r="S195" s="18">
        <f t="shared" si="577"/>
        <v>2018</v>
      </c>
      <c r="T195" s="18">
        <f t="shared" si="577"/>
        <v>2019</v>
      </c>
      <c r="U195" s="18">
        <f t="shared" si="577"/>
        <v>2020</v>
      </c>
      <c r="V195" s="18">
        <f t="shared" si="577"/>
        <v>2021</v>
      </c>
      <c r="W195" s="18">
        <f t="shared" si="577"/>
        <v>2022</v>
      </c>
      <c r="X195" s="18">
        <f t="shared" si="577"/>
        <v>2023</v>
      </c>
      <c r="Y195" s="18">
        <f t="shared" si="577"/>
        <v>2024</v>
      </c>
      <c r="Z195" s="18">
        <f t="shared" si="577"/>
        <v>2025</v>
      </c>
      <c r="AA195" s="18">
        <f t="shared" si="577"/>
        <v>2026</v>
      </c>
      <c r="AB195" s="18">
        <f t="shared" si="577"/>
        <v>2027</v>
      </c>
      <c r="AC195" s="18">
        <f t="shared" si="577"/>
        <v>2028</v>
      </c>
      <c r="AD195" s="18">
        <f t="shared" si="577"/>
        <v>2029</v>
      </c>
      <c r="AE195" s="18">
        <f t="shared" si="577"/>
        <v>2030</v>
      </c>
      <c r="AF195" s="18">
        <f t="shared" si="577"/>
        <v>2031</v>
      </c>
      <c r="AG195" s="18">
        <f t="shared" si="577"/>
        <v>2032</v>
      </c>
      <c r="AH195" s="18">
        <f t="shared" si="577"/>
        <v>2033</v>
      </c>
      <c r="AI195" s="18">
        <f t="shared" si="577"/>
        <v>2034</v>
      </c>
      <c r="AJ195" s="18">
        <f t="shared" si="577"/>
        <v>2035</v>
      </c>
      <c r="AK195" s="18">
        <f t="shared" si="577"/>
        <v>2036</v>
      </c>
      <c r="AL195" s="18">
        <f t="shared" si="577"/>
        <v>2037</v>
      </c>
      <c r="AM195" s="18">
        <f t="shared" si="577"/>
        <v>2038</v>
      </c>
      <c r="AN195" s="18">
        <f t="shared" si="577"/>
        <v>2039</v>
      </c>
      <c r="AO195" s="18">
        <f t="shared" si="577"/>
        <v>2040</v>
      </c>
      <c r="AP195" s="18">
        <v>2045</v>
      </c>
      <c r="AQ195" s="18">
        <v>2050</v>
      </c>
      <c r="AR195" s="18">
        <v>2060</v>
      </c>
      <c r="AS195" s="18">
        <v>2070</v>
      </c>
      <c r="AT195" s="18"/>
      <c r="AW195" s="18"/>
      <c r="AX195" s="18"/>
      <c r="BH195" s="18">
        <v>2012</v>
      </c>
      <c r="BI195" s="18"/>
    </row>
    <row r="196" spans="1:61" s="191" customFormat="1">
      <c r="A196" s="114" t="s">
        <v>16</v>
      </c>
      <c r="B196" s="191" t="s">
        <v>392</v>
      </c>
      <c r="C196" s="191">
        <v>1</v>
      </c>
      <c r="D196" s="191">
        <v>2012</v>
      </c>
      <c r="E196" s="191">
        <v>2015</v>
      </c>
      <c r="F196" s="191">
        <v>2017</v>
      </c>
      <c r="G196" s="191">
        <v>2019</v>
      </c>
      <c r="H196" s="191">
        <v>2020</v>
      </c>
      <c r="I196" s="191">
        <v>2021</v>
      </c>
      <c r="J196" s="191">
        <v>2030</v>
      </c>
      <c r="K196" s="191">
        <v>2040</v>
      </c>
      <c r="L196" s="237">
        <v>2050</v>
      </c>
      <c r="M196" s="114">
        <f>MATCH(J$214,$E$185:$M$185,$C196)</f>
        <v>1</v>
      </c>
      <c r="N196" s="114">
        <f>MATCH(K$214,$E$185:$M$185,$C196)</f>
        <v>1</v>
      </c>
      <c r="O196" s="114">
        <f>MATCH(L$214,$E$185:$M$185,$C196)</f>
        <v>1</v>
      </c>
      <c r="P196" s="114">
        <f>MATCH(M$214,$E$185:$M$185,$C196)</f>
        <v>2</v>
      </c>
      <c r="Q196" s="114">
        <f>MATCH(N$214,$E$185:$M$185,$C196)</f>
        <v>2</v>
      </c>
      <c r="R196" s="114">
        <f>MATCH(O$214,$E$185:$M$185,$C196)</f>
        <v>3</v>
      </c>
      <c r="S196" s="114">
        <f>MATCH(P$214,$E$185:$M$185,$C196)</f>
        <v>3</v>
      </c>
      <c r="T196" s="114">
        <f>MATCH(Q$214,$E$185:$M$185,$C196)</f>
        <v>4</v>
      </c>
      <c r="U196" s="114">
        <f>MATCH(R$214,$E$185:$M$185,$C196)</f>
        <v>5</v>
      </c>
      <c r="V196" s="114">
        <f>MATCH(S$214,$E$185:$M$185,$C196)</f>
        <v>6</v>
      </c>
      <c r="W196" s="114">
        <f>MATCH(T$214,$E$185:$M$185,$C196)</f>
        <v>6</v>
      </c>
      <c r="X196" s="114">
        <f>MATCH(U$214,$E$185:$M$185,$C196)</f>
        <v>6</v>
      </c>
      <c r="Y196" s="114">
        <f>MATCH(V$214,$E$185:$M$185,$C196)</f>
        <v>6</v>
      </c>
      <c r="Z196" s="114">
        <f>MATCH(W$214,$E$185:$M$185,$C196)</f>
        <v>6</v>
      </c>
      <c r="AA196" s="114">
        <f>MATCH(X$214,$E$185:$M$185,$C196)</f>
        <v>6</v>
      </c>
      <c r="AB196" s="114">
        <f>MATCH(Y$214,$E$185:$M$185,$C196)</f>
        <v>6</v>
      </c>
      <c r="AC196" s="114">
        <f>MATCH(Z$214,$E$185:$M$185,$C196)</f>
        <v>6</v>
      </c>
      <c r="AD196" s="114">
        <f>MATCH(AA$214,$E$185:$M$185,$C196)</f>
        <v>6</v>
      </c>
      <c r="AE196" s="114">
        <f>MATCH(AB$214,$E$185:$M$185,$C196)</f>
        <v>7</v>
      </c>
      <c r="AF196" s="114">
        <f>MATCH(AC$214,$E$185:$M$185,$C196)</f>
        <v>7</v>
      </c>
      <c r="AG196" s="114">
        <f>MATCH(AD$214,$E$185:$M$185,$C196)</f>
        <v>7</v>
      </c>
      <c r="AH196" s="114">
        <f>MATCH(AE$214,$E$185:$M$185,$C196)</f>
        <v>7</v>
      </c>
      <c r="AI196" s="114">
        <f>MATCH(AF$214,$E$185:$M$185,$C196)</f>
        <v>7</v>
      </c>
      <c r="AJ196" s="114">
        <f>MATCH(AG$214,$E$185:$M$185,$C196)</f>
        <v>7</v>
      </c>
      <c r="AK196" s="114">
        <f>MATCH(AH$214,$E$185:$M$185,$C196)</f>
        <v>7</v>
      </c>
      <c r="AL196" s="114">
        <f>MATCH(AI$214,$E$185:$M$185,$C196)</f>
        <v>7</v>
      </c>
      <c r="AM196" s="114">
        <f>MATCH(AJ$214,$E$185:$M$185,$C196)</f>
        <v>7</v>
      </c>
      <c r="AN196" s="114">
        <f>MATCH(AK$214,$E$185:$M$185,$C196)</f>
        <v>7</v>
      </c>
      <c r="AO196" s="114">
        <f>MATCH(AL$214,$E$185:$M$185,$C196)</f>
        <v>8</v>
      </c>
      <c r="AP196" s="114">
        <f>MATCH(AM$214,$E$185:$M$185,$C196)</f>
        <v>8</v>
      </c>
      <c r="AQ196" s="114">
        <f>MATCH(AN$214,$E$185:$M$185,$C196)</f>
        <v>9</v>
      </c>
      <c r="AR196" s="191">
        <f>MATCH(AO$214,$C$210:$K$210,$C196)</f>
        <v>9</v>
      </c>
      <c r="AS196" s="191">
        <f>MATCH(AP$214,$C$210:$K$210,$C196)</f>
        <v>9</v>
      </c>
      <c r="BH196" s="114">
        <f>MATCH(BE$214,$C$210:$K$210,$C196)</f>
        <v>1</v>
      </c>
    </row>
    <row r="197" spans="1:61">
      <c r="A197" s="40" t="s">
        <v>16</v>
      </c>
      <c r="B197" s="185" t="s">
        <v>393</v>
      </c>
      <c r="C197" s="185">
        <v>0</v>
      </c>
      <c r="D197" s="185">
        <f>INDEX($D196:$L196,0,COUNT($D196:$L196)-D198)</f>
        <v>2050</v>
      </c>
      <c r="E197" s="283">
        <f t="shared" ref="E197:L197" si="578">INDEX($D196:$L196,0,COUNT($D196:$L196)-E198)</f>
        <v>2040</v>
      </c>
      <c r="F197" s="283">
        <f t="shared" si="578"/>
        <v>2030</v>
      </c>
      <c r="G197" s="283">
        <f t="shared" si="578"/>
        <v>2021</v>
      </c>
      <c r="H197" s="283">
        <f t="shared" si="578"/>
        <v>2020</v>
      </c>
      <c r="I197" s="283">
        <f t="shared" si="578"/>
        <v>2019</v>
      </c>
      <c r="J197" s="283">
        <f t="shared" si="578"/>
        <v>2017</v>
      </c>
      <c r="K197" s="283">
        <f t="shared" si="578"/>
        <v>2015</v>
      </c>
      <c r="L197" s="283">
        <f t="shared" si="578"/>
        <v>2012</v>
      </c>
      <c r="M197" s="40">
        <f>MATCH(J$214,$E$185:$M$185,$C197)</f>
        <v>1</v>
      </c>
      <c r="N197" s="40" t="e">
        <f>MATCH(K$214,$E$185:$M$185,$C197)</f>
        <v>#N/A</v>
      </c>
      <c r="O197" s="40" t="e">
        <f>MATCH(L$214,$E$185:$M$185,$C197)</f>
        <v>#N/A</v>
      </c>
      <c r="P197" s="40">
        <f>MATCH(M$214,$E$185:$M$185,$C197)</f>
        <v>2</v>
      </c>
      <c r="Q197" s="40" t="e">
        <f>MATCH(N$214,$E$185:$M$185,$C197)</f>
        <v>#N/A</v>
      </c>
      <c r="R197" s="40">
        <f>MATCH(O$214,$E$185:$M$185,$C197)</f>
        <v>3</v>
      </c>
      <c r="S197" s="40" t="e">
        <f>MATCH(P$214,$E$185:$M$185,$C197)</f>
        <v>#N/A</v>
      </c>
      <c r="T197" s="40">
        <f>MATCH(Q$214,$E$185:$M$185,$C197)</f>
        <v>4</v>
      </c>
      <c r="U197" s="40">
        <f>MATCH(R$214,$E$185:$M$185,$C197)</f>
        <v>5</v>
      </c>
      <c r="V197" s="40">
        <f>MATCH(S$214,$E$185:$M$185,$C197)</f>
        <v>6</v>
      </c>
      <c r="W197" s="40" t="e">
        <f>MATCH(T$214,$E$185:$M$185,$C197)</f>
        <v>#N/A</v>
      </c>
      <c r="X197" s="40" t="e">
        <f>MATCH(U$214,$E$185:$M$185,$C197)</f>
        <v>#N/A</v>
      </c>
      <c r="Y197" s="40" t="e">
        <f>MATCH(V$214,$E$185:$M$185,$C197)</f>
        <v>#N/A</v>
      </c>
      <c r="Z197" s="40" t="e">
        <f>MATCH(W$214,$E$185:$M$185,$C197)</f>
        <v>#N/A</v>
      </c>
      <c r="AA197" s="40" t="e">
        <f>MATCH(X$214,$E$185:$M$185,$C197)</f>
        <v>#N/A</v>
      </c>
      <c r="AB197" s="40" t="e">
        <f>MATCH(Y$214,$E$185:$M$185,$C197)</f>
        <v>#N/A</v>
      </c>
      <c r="AC197" s="40" t="e">
        <f>MATCH(Z$214,$E$185:$M$185,$C197)</f>
        <v>#N/A</v>
      </c>
      <c r="AD197" s="40" t="e">
        <f>MATCH(AA$214,$E$185:$M$185,$C197)</f>
        <v>#N/A</v>
      </c>
      <c r="AE197" s="40">
        <f>MATCH(AB$214,$E$185:$M$185,$C197)</f>
        <v>7</v>
      </c>
      <c r="AF197" s="40" t="e">
        <f>MATCH(AC$214,$E$185:$M$185,$C197)</f>
        <v>#N/A</v>
      </c>
      <c r="AG197" s="40" t="e">
        <f>MATCH(AD$214,$E$185:$M$185,$C197)</f>
        <v>#N/A</v>
      </c>
      <c r="AH197" s="40" t="e">
        <f>MATCH(AE$214,$E$185:$M$185,$C197)</f>
        <v>#N/A</v>
      </c>
      <c r="AI197" s="40" t="e">
        <f>MATCH(AF$214,$E$185:$M$185,$C197)</f>
        <v>#N/A</v>
      </c>
      <c r="AJ197" s="40" t="e">
        <f>MATCH(AG$214,$E$185:$M$185,$C197)</f>
        <v>#N/A</v>
      </c>
      <c r="AK197" s="40" t="e">
        <f>MATCH(AH$214,$E$185:$M$185,$C197)</f>
        <v>#N/A</v>
      </c>
      <c r="AL197" s="40" t="e">
        <f>MATCH(AI$214,$E$185:$M$185,$C197)</f>
        <v>#N/A</v>
      </c>
      <c r="AM197" s="40" t="e">
        <f>MATCH(AJ$214,$E$185:$M$185,$C197)</f>
        <v>#N/A</v>
      </c>
      <c r="AN197" s="40" t="e">
        <f>MATCH(AK$214,$E$185:$M$185,$C197)</f>
        <v>#N/A</v>
      </c>
      <c r="AO197" s="40">
        <f>MATCH(AL$214,$E$185:$M$185,$C197)</f>
        <v>8</v>
      </c>
      <c r="AP197" s="40" t="e">
        <f>MATCH(AM$214,$E$185:$M$185,$C197)</f>
        <v>#N/A</v>
      </c>
      <c r="AQ197" s="40">
        <f>MATCH(AN$214,$E$185:$M$185,$C197)</f>
        <v>9</v>
      </c>
      <c r="AR197" s="185" t="e">
        <f>MATCH(AO$214,$C$210:$K$210,$C197)</f>
        <v>#N/A</v>
      </c>
      <c r="AS197" s="185" t="e">
        <f>MATCH(AP$214,$C$210:$K$210,$C197)</f>
        <v>#N/A</v>
      </c>
      <c r="BH197" s="40">
        <f>MATCH(BE$214,$C$210:$K$210,$C197)</f>
        <v>1</v>
      </c>
    </row>
    <row r="198" spans="1:61">
      <c r="A198" s="40" t="s">
        <v>16</v>
      </c>
      <c r="B198" s="185" t="s">
        <v>391</v>
      </c>
      <c r="C198" s="185">
        <v>-1</v>
      </c>
      <c r="D198" s="185">
        <v>0</v>
      </c>
      <c r="E198" s="283">
        <v>1</v>
      </c>
      <c r="F198" s="283">
        <v>2</v>
      </c>
      <c r="G198" s="283">
        <v>3</v>
      </c>
      <c r="H198" s="283">
        <v>4</v>
      </c>
      <c r="I198" s="283">
        <v>5</v>
      </c>
      <c r="J198" s="283">
        <v>6</v>
      </c>
      <c r="K198" s="283">
        <v>7</v>
      </c>
      <c r="L198" s="283">
        <v>8</v>
      </c>
      <c r="M198" s="185">
        <f>MATCH(J$214,$C$211:$K$211,$C198)</f>
        <v>9</v>
      </c>
      <c r="N198" s="185">
        <f>MATCH(K$214,$D$197:$L$197,$C198)</f>
        <v>8</v>
      </c>
      <c r="O198" s="185">
        <f>MATCH(L$214,$C$211:$K$211,$C198)</f>
        <v>8</v>
      </c>
      <c r="P198" s="185">
        <f>MATCH(M$214,$C$211:$K$211,$C198)</f>
        <v>8</v>
      </c>
      <c r="Q198" s="185">
        <f>MATCH(N$214,$C$211:$K$211,$C198)</f>
        <v>7</v>
      </c>
      <c r="R198" s="185">
        <f>MATCH(O$214,$C$211:$K$211,$C198)</f>
        <v>7</v>
      </c>
      <c r="S198" s="185">
        <f>MATCH(P$214,$C$211:$K$211,$C198)</f>
        <v>6</v>
      </c>
      <c r="T198" s="185">
        <f>MATCH(Q$214,$C$211:$K$211,$C198)</f>
        <v>6</v>
      </c>
      <c r="U198" s="185">
        <f>MATCH(R$214,$C$211:$K$211,$C198)</f>
        <v>5</v>
      </c>
      <c r="V198" s="185">
        <f>MATCH(S$214,$C$211:$K$211,$C198)</f>
        <v>4</v>
      </c>
      <c r="W198" s="185">
        <f>MATCH(T$214,$C$211:$K$211,$C198)</f>
        <v>3</v>
      </c>
      <c r="X198" s="185">
        <f>MATCH(U$214,$C$211:$K$211,$C198)</f>
        <v>3</v>
      </c>
      <c r="Y198" s="185">
        <f>MATCH(V$214,$C$211:$K$211,$C198)</f>
        <v>3</v>
      </c>
      <c r="Z198" s="185">
        <f>MATCH(W$214,$C$211:$K$211,$C198)</f>
        <v>3</v>
      </c>
      <c r="AA198" s="185">
        <f>MATCH(X$214,$C$211:$K$211,$C198)</f>
        <v>3</v>
      </c>
      <c r="AB198" s="185">
        <f>MATCH(Y$214,$C$211:$K$211,$C198)</f>
        <v>3</v>
      </c>
      <c r="AC198" s="185">
        <f>MATCH(Z$214,$C$211:$K$211,$C198)</f>
        <v>3</v>
      </c>
      <c r="AD198" s="185">
        <f>MATCH(AA$214,$C$211:$K$211,$C198)</f>
        <v>3</v>
      </c>
      <c r="AE198" s="185">
        <f>MATCH(AB$214,$C$211:$K$211,$C198)</f>
        <v>3</v>
      </c>
      <c r="AF198" s="185">
        <f>MATCH(AC$214,$C$211:$K$211,$C198)</f>
        <v>2</v>
      </c>
      <c r="AG198" s="185">
        <f>MATCH(AD$214,$C$211:$K$211,$C198)</f>
        <v>2</v>
      </c>
      <c r="AH198" s="185">
        <f>MATCH(AE$214,$C$211:$K$211,$C198)</f>
        <v>2</v>
      </c>
      <c r="AI198" s="185">
        <f>MATCH(AF$214,$C$211:$K$211,$C198)</f>
        <v>2</v>
      </c>
      <c r="AJ198" s="185">
        <f>MATCH(AG$214,$C$211:$K$211,$C198)</f>
        <v>2</v>
      </c>
      <c r="AK198" s="185">
        <f>MATCH(AH$214,$C$211:$K$211,$C198)</f>
        <v>2</v>
      </c>
      <c r="AL198" s="185">
        <f>MATCH(AI$214,$C$211:$K$211,$C198)</f>
        <v>2</v>
      </c>
      <c r="AM198" s="185">
        <f>MATCH(AJ$214,$C$211:$K$211,$C198)</f>
        <v>2</v>
      </c>
      <c r="AN198" s="185">
        <f>MATCH(AK$214,$C$211:$K$211,$C198)</f>
        <v>2</v>
      </c>
      <c r="AO198" s="185">
        <f>MATCH(AL$214,$C$211:$K$211,$C198)</f>
        <v>2</v>
      </c>
      <c r="AP198" s="185">
        <f>MATCH(AM$214,$C$211:$K$211,$C198)</f>
        <v>1</v>
      </c>
      <c r="AQ198" s="185">
        <f>MATCH(AN$214,$C$211:$K$211,$C198)</f>
        <v>1</v>
      </c>
      <c r="AR198" s="185" t="e">
        <f>MATCH(AO$214,$C$211:$K$211,$C198)</f>
        <v>#N/A</v>
      </c>
      <c r="AS198" s="185" t="e">
        <f>MATCH(AP$214,$C$211:$K$211,$C198)</f>
        <v>#N/A</v>
      </c>
      <c r="BH198" s="185">
        <f>MATCH(BE$214,$C$211:$K$211,$C198)</f>
        <v>9</v>
      </c>
    </row>
    <row r="199" spans="1:61" s="117" customFormat="1">
      <c r="A199" s="116" t="s">
        <v>16</v>
      </c>
      <c r="B199" s="117" t="s">
        <v>394</v>
      </c>
      <c r="L199" s="122"/>
      <c r="M199" s="189">
        <f>IF(ISNA(M196),-1,IF(ISNA(M198),99,IF(ISNA(M197),M196,0)))</f>
        <v>0</v>
      </c>
      <c r="N199" s="189">
        <f>IF(ISNA(N196),-1,IF(ISNA(N198),99,IF(ISNA(N197),N196,0)))</f>
        <v>1</v>
      </c>
      <c r="O199" s="189">
        <f t="shared" ref="O199:AS199" si="579">IF(ISNA(O196),-1,IF(ISNA(O198),99,IF(ISNA(O197),O196,0)))</f>
        <v>1</v>
      </c>
      <c r="P199" s="189">
        <f t="shared" si="579"/>
        <v>0</v>
      </c>
      <c r="Q199" s="189">
        <f t="shared" si="579"/>
        <v>2</v>
      </c>
      <c r="R199" s="189">
        <f t="shared" ref="R199" si="580">IF(ISNA(R196),-1,IF(ISNA(R198),99,IF(ISNA(R197),R196,0)))</f>
        <v>0</v>
      </c>
      <c r="S199" s="189">
        <f t="shared" si="579"/>
        <v>3</v>
      </c>
      <c r="T199" s="189">
        <f t="shared" si="579"/>
        <v>0</v>
      </c>
      <c r="U199" s="189">
        <f t="shared" si="579"/>
        <v>0</v>
      </c>
      <c r="V199" s="189">
        <f t="shared" si="579"/>
        <v>0</v>
      </c>
      <c r="W199" s="189">
        <f t="shared" si="579"/>
        <v>6</v>
      </c>
      <c r="X199" s="189">
        <f t="shared" si="579"/>
        <v>6</v>
      </c>
      <c r="Y199" s="189">
        <f t="shared" si="579"/>
        <v>6</v>
      </c>
      <c r="Z199" s="189">
        <f t="shared" si="579"/>
        <v>6</v>
      </c>
      <c r="AA199" s="189">
        <f t="shared" si="579"/>
        <v>6</v>
      </c>
      <c r="AB199" s="189">
        <f t="shared" si="579"/>
        <v>6</v>
      </c>
      <c r="AC199" s="189">
        <f t="shared" si="579"/>
        <v>6</v>
      </c>
      <c r="AD199" s="189">
        <f t="shared" si="579"/>
        <v>6</v>
      </c>
      <c r="AE199" s="189">
        <f t="shared" si="579"/>
        <v>0</v>
      </c>
      <c r="AF199" s="189">
        <f t="shared" si="579"/>
        <v>7</v>
      </c>
      <c r="AG199" s="189">
        <f t="shared" si="579"/>
        <v>7</v>
      </c>
      <c r="AH199" s="189">
        <f t="shared" si="579"/>
        <v>7</v>
      </c>
      <c r="AI199" s="189">
        <f t="shared" si="579"/>
        <v>7</v>
      </c>
      <c r="AJ199" s="189">
        <f t="shared" si="579"/>
        <v>7</v>
      </c>
      <c r="AK199" s="189">
        <f t="shared" si="579"/>
        <v>7</v>
      </c>
      <c r="AL199" s="189">
        <f t="shared" si="579"/>
        <v>7</v>
      </c>
      <c r="AM199" s="189">
        <f t="shared" si="579"/>
        <v>7</v>
      </c>
      <c r="AN199" s="189">
        <f t="shared" si="579"/>
        <v>7</v>
      </c>
      <c r="AO199" s="189">
        <f t="shared" si="579"/>
        <v>0</v>
      </c>
      <c r="AP199" s="189">
        <f t="shared" si="579"/>
        <v>8</v>
      </c>
      <c r="AQ199" s="189">
        <f t="shared" si="579"/>
        <v>0</v>
      </c>
      <c r="AR199" s="189">
        <f t="shared" si="579"/>
        <v>99</v>
      </c>
      <c r="AS199" s="189">
        <f t="shared" si="579"/>
        <v>99</v>
      </c>
      <c r="AT199" s="189"/>
      <c r="AW199" s="189"/>
      <c r="AX199" s="189"/>
      <c r="BH199" s="189">
        <f>IF(ISNA(BH196),-1,IF(ISNA(BH198),99,IF(ISNA(BH197),BH196,0)))</f>
        <v>0</v>
      </c>
      <c r="BI199" s="189"/>
    </row>
    <row r="200" spans="1:61">
      <c r="A200" s="185" t="s">
        <v>16</v>
      </c>
      <c r="B200" s="22" t="str">
        <f t="shared" ref="B200:B207" si="581">IF(A200="*","","COM_PROJ")</f>
        <v/>
      </c>
      <c r="C200" s="23" t="str">
        <f t="shared" ref="C200:C207" si="582">IF($A200="*","","-")</f>
        <v/>
      </c>
      <c r="D200" s="57" t="str">
        <f t="shared" ref="D200:D207" si="583">B172</f>
        <v>TPPRCAR</v>
      </c>
      <c r="E200" s="23" t="str">
        <f t="shared" ref="E200:K207" si="584">IF($A200="*","","-")</f>
        <v/>
      </c>
      <c r="F200" s="23"/>
      <c r="H200" s="23" t="str">
        <f t="shared" si="584"/>
        <v/>
      </c>
      <c r="J200" s="23" t="str">
        <f t="shared" si="584"/>
        <v/>
      </c>
      <c r="K200" s="23" t="str">
        <f t="shared" si="584"/>
        <v/>
      </c>
      <c r="L200" s="22" t="str">
        <f t="shared" ref="L200:L207" si="585">IF(A200="*","",0)</f>
        <v/>
      </c>
      <c r="M200" s="186">
        <f t="shared" ref="M200:AR200" si="586">IF(M$199=-1,N200,IF(M$199=99,L200,IF(M$199=0,INDEX($E186:$M186,0,M$197),(INDEX($E186:$M186,0,M$199+1)-INDEX($E186:$M186,0,M$199))/(INDEX($E$185:$M$185,0,M$199+1)-INDEX($E$185:$M$185,0,M$199))+L200)))</f>
        <v>81.484814157071753</v>
      </c>
      <c r="N200" s="186">
        <f t="shared" si="586"/>
        <v>84.02361101254985</v>
      </c>
      <c r="O200" s="186">
        <f t="shared" si="586"/>
        <v>86.562407868027947</v>
      </c>
      <c r="P200" s="186">
        <f t="shared" si="586"/>
        <v>89.101204723506044</v>
      </c>
      <c r="Q200" s="186">
        <f t="shared" si="586"/>
        <v>91.313591691856431</v>
      </c>
      <c r="R200" s="186">
        <f t="shared" si="586"/>
        <v>93.525978660206817</v>
      </c>
      <c r="S200" s="186">
        <f t="shared" si="586"/>
        <v>95.68422553760422</v>
      </c>
      <c r="T200" s="186">
        <f t="shared" si="586"/>
        <v>97.842472415001637</v>
      </c>
      <c r="U200" s="186">
        <f t="shared" si="586"/>
        <v>93.746622585597407</v>
      </c>
      <c r="V200" s="186">
        <f t="shared" si="586"/>
        <v>94.284516099271045</v>
      </c>
      <c r="W200" s="186">
        <f t="shared" si="586"/>
        <v>97.198802179917436</v>
      </c>
      <c r="X200" s="186">
        <f t="shared" si="586"/>
        <v>100.11308826056383</v>
      </c>
      <c r="Y200" s="186">
        <f t="shared" si="586"/>
        <v>103.02737434121022</v>
      </c>
      <c r="Z200" s="186">
        <f t="shared" si="586"/>
        <v>105.94166042185661</v>
      </c>
      <c r="AA200" s="186">
        <f t="shared" si="586"/>
        <v>108.855946502503</v>
      </c>
      <c r="AB200" s="186">
        <f t="shared" si="586"/>
        <v>111.77023258314939</v>
      </c>
      <c r="AC200" s="186">
        <f t="shared" si="586"/>
        <v>114.68451866379579</v>
      </c>
      <c r="AD200" s="186">
        <f t="shared" si="586"/>
        <v>117.59880474444218</v>
      </c>
      <c r="AE200" s="186">
        <f t="shared" si="586"/>
        <v>120.51309082508857</v>
      </c>
      <c r="AF200" s="186">
        <f t="shared" si="586"/>
        <v>124.40451694203242</v>
      </c>
      <c r="AG200" s="186">
        <f t="shared" si="586"/>
        <v>128.29594305897626</v>
      </c>
      <c r="AH200" s="186">
        <f t="shared" si="586"/>
        <v>132.18736917592011</v>
      </c>
      <c r="AI200" s="186">
        <f t="shared" si="586"/>
        <v>136.07879529286396</v>
      </c>
      <c r="AJ200" s="186">
        <f t="shared" si="586"/>
        <v>139.97022140980781</v>
      </c>
      <c r="AK200" s="186">
        <f t="shared" si="586"/>
        <v>143.86164752675165</v>
      </c>
      <c r="AL200" s="186">
        <f t="shared" si="586"/>
        <v>147.7530736436955</v>
      </c>
      <c r="AM200" s="186">
        <f t="shared" si="586"/>
        <v>151.64449976063935</v>
      </c>
      <c r="AN200" s="186">
        <f t="shared" si="586"/>
        <v>155.5359258775832</v>
      </c>
      <c r="AO200" s="186">
        <f t="shared" si="586"/>
        <v>159.42735199452704</v>
      </c>
      <c r="AP200" s="186">
        <f t="shared" si="586"/>
        <v>163.63226891808</v>
      </c>
      <c r="AQ200" s="186">
        <f t="shared" si="586"/>
        <v>201.47652123005676</v>
      </c>
      <c r="AR200" s="186">
        <f t="shared" si="586"/>
        <v>201.47652123005676</v>
      </c>
      <c r="AS200" s="186">
        <f>IF(AS$199=-1,#REF!,IF(AS$199=99,AR200,IF(AS$199=0,INDEX($E186:$M186,0,AS$197),(INDEX($E186:$M186,0,AS$199+1)-INDEX($E186:$M186,0,AS$199))/(INDEX($E$185:$M$185,0,AS$199+1)-INDEX($E$185:$M$185,0,AS$199))+AR200)))</f>
        <v>201.47652123005676</v>
      </c>
      <c r="AT200" s="186"/>
      <c r="AW200" s="186"/>
      <c r="AX200" s="186"/>
      <c r="BH200" s="186">
        <f t="shared" ref="BH200:BH207" si="587">E186</f>
        <v>81.484814157071753</v>
      </c>
      <c r="BI200" s="109">
        <f t="shared" ref="BI200:BI207" si="588">(M200-BH200)/M200</f>
        <v>0</v>
      </c>
    </row>
    <row r="201" spans="1:61">
      <c r="A201" s="185" t="s">
        <v>16</v>
      </c>
      <c r="B201" s="22" t="str">
        <f t="shared" si="581"/>
        <v/>
      </c>
      <c r="C201" s="23" t="str">
        <f t="shared" si="582"/>
        <v/>
      </c>
      <c r="D201" s="57" t="str">
        <f t="shared" si="583"/>
        <v>TPPRSUV</v>
      </c>
      <c r="E201" s="23" t="str">
        <f t="shared" si="584"/>
        <v/>
      </c>
      <c r="F201" s="23"/>
      <c r="H201" s="23" t="str">
        <f t="shared" si="584"/>
        <v/>
      </c>
      <c r="J201" s="23" t="str">
        <f t="shared" si="584"/>
        <v/>
      </c>
      <c r="K201" s="23" t="str">
        <f t="shared" si="584"/>
        <v/>
      </c>
      <c r="L201" s="22" t="str">
        <f t="shared" si="585"/>
        <v/>
      </c>
      <c r="M201" s="186">
        <f t="shared" ref="M201:AR201" si="589">IF(M$199=-1,N201,IF(M$199=99,L201,IF(M$199=0,INDEX($E187:$M187,0,M$197),(INDEX($E187:$M187,0,M$199+1)-INDEX($E187:$M187,0,M$199))/(INDEX($E$185:$M$185,0,M$199+1)-INDEX($E$185:$M$185,0,M$199))+L201)))</f>
        <v>9.3562062912418789</v>
      </c>
      <c r="N201" s="186">
        <f t="shared" si="589"/>
        <v>9.6477146828008458</v>
      </c>
      <c r="O201" s="186">
        <f t="shared" si="589"/>
        <v>9.9392230743598127</v>
      </c>
      <c r="P201" s="186">
        <f t="shared" si="589"/>
        <v>10.230731465918778</v>
      </c>
      <c r="Q201" s="186">
        <f t="shared" si="589"/>
        <v>10.460589810852998</v>
      </c>
      <c r="R201" s="186">
        <f t="shared" si="589"/>
        <v>10.69044815578722</v>
      </c>
      <c r="S201" s="186">
        <f t="shared" si="589"/>
        <v>10.937145668935228</v>
      </c>
      <c r="T201" s="186">
        <f t="shared" si="589"/>
        <v>11.183843182083237</v>
      </c>
      <c r="U201" s="186">
        <f t="shared" si="589"/>
        <v>10.715668768060601</v>
      </c>
      <c r="V201" s="186">
        <f t="shared" si="589"/>
        <v>10.777152462790532</v>
      </c>
      <c r="W201" s="186">
        <f t="shared" si="589"/>
        <v>11.110268723134338</v>
      </c>
      <c r="X201" s="186">
        <f t="shared" si="589"/>
        <v>11.443384983478143</v>
      </c>
      <c r="Y201" s="186">
        <f t="shared" si="589"/>
        <v>11.776501243821949</v>
      </c>
      <c r="Z201" s="186">
        <f t="shared" si="589"/>
        <v>12.109617504165755</v>
      </c>
      <c r="AA201" s="186">
        <f t="shared" si="589"/>
        <v>12.44273376450956</v>
      </c>
      <c r="AB201" s="186">
        <f t="shared" si="589"/>
        <v>12.775850024853366</v>
      </c>
      <c r="AC201" s="186">
        <f t="shared" si="589"/>
        <v>13.108966285197171</v>
      </c>
      <c r="AD201" s="186">
        <f t="shared" si="589"/>
        <v>13.442082545540977</v>
      </c>
      <c r="AE201" s="186">
        <f t="shared" si="589"/>
        <v>13.775198805884775</v>
      </c>
      <c r="AF201" s="186">
        <f t="shared" si="589"/>
        <v>14.220006652337869</v>
      </c>
      <c r="AG201" s="186">
        <f t="shared" si="589"/>
        <v>14.664814498790962</v>
      </c>
      <c r="AH201" s="186">
        <f t="shared" si="589"/>
        <v>15.109622345244055</v>
      </c>
      <c r="AI201" s="186">
        <f t="shared" si="589"/>
        <v>15.554430191697149</v>
      </c>
      <c r="AJ201" s="186">
        <f t="shared" si="589"/>
        <v>15.999238038150242</v>
      </c>
      <c r="AK201" s="186">
        <f t="shared" si="589"/>
        <v>16.444045884603337</v>
      </c>
      <c r="AL201" s="186">
        <f t="shared" si="589"/>
        <v>16.888853731056432</v>
      </c>
      <c r="AM201" s="186">
        <f t="shared" si="589"/>
        <v>17.333661577509528</v>
      </c>
      <c r="AN201" s="186">
        <f t="shared" si="589"/>
        <v>17.778469423962623</v>
      </c>
      <c r="AO201" s="186">
        <f t="shared" si="589"/>
        <v>18.223277270415711</v>
      </c>
      <c r="AP201" s="186">
        <f t="shared" si="589"/>
        <v>18.703918553346885</v>
      </c>
      <c r="AQ201" s="186">
        <f t="shared" si="589"/>
        <v>23.029690099727446</v>
      </c>
      <c r="AR201" s="186">
        <f t="shared" si="589"/>
        <v>23.029690099727446</v>
      </c>
      <c r="AS201" s="186">
        <f>IF(AS$199=-1,#REF!,IF(AS$199=99,AR201,IF(AS$199=0,INDEX($E187:$M187,0,AS$197),(INDEX($E187:$M187,0,AS$199+1)-INDEX($E187:$M187,0,AS$199))/(INDEX($E$185:$M$185,0,AS$199+1)-INDEX($E$185:$M$185,0,AS$199))+AR201)))</f>
        <v>23.029690099727446</v>
      </c>
      <c r="AT201" s="186"/>
      <c r="AW201" s="186"/>
      <c r="AX201" s="186"/>
      <c r="BH201" s="186">
        <f t="shared" si="587"/>
        <v>9.3562062912418789</v>
      </c>
      <c r="BI201" s="109">
        <f t="shared" si="588"/>
        <v>0</v>
      </c>
    </row>
    <row r="202" spans="1:61">
      <c r="A202" s="185" t="s">
        <v>16</v>
      </c>
      <c r="B202" s="22" t="str">
        <f t="shared" si="581"/>
        <v/>
      </c>
      <c r="C202" s="23" t="str">
        <f t="shared" si="582"/>
        <v/>
      </c>
      <c r="D202" s="57" t="str">
        <f t="shared" si="583"/>
        <v>TPPRMOT</v>
      </c>
      <c r="E202" s="23" t="str">
        <f t="shared" si="584"/>
        <v/>
      </c>
      <c r="F202" s="23"/>
      <c r="H202" s="23" t="str">
        <f t="shared" si="584"/>
        <v/>
      </c>
      <c r="J202" s="23" t="str">
        <f t="shared" si="584"/>
        <v/>
      </c>
      <c r="K202" s="23" t="str">
        <f t="shared" si="584"/>
        <v/>
      </c>
      <c r="L202" s="22" t="str">
        <f t="shared" si="585"/>
        <v/>
      </c>
      <c r="M202" s="186">
        <f t="shared" ref="M202:AR202" si="590">IF(M$199=-1,N202,IF(M$199=99,L202,IF(M$199=0,INDEX($E188:$M188,0,M$197),(INDEX($E188:$M188,0,M$199+1)-INDEX($E188:$M188,0,M$199))/(INDEX($E$185:$M$185,0,M$199+1)-INDEX($E$185:$M$185,0,M$199))+L202)))</f>
        <v>3.1893877916903843</v>
      </c>
      <c r="N202" s="186">
        <f t="shared" si="590"/>
        <v>3.1544528903256581</v>
      </c>
      <c r="O202" s="186">
        <f t="shared" si="590"/>
        <v>3.1195179889609319</v>
      </c>
      <c r="P202" s="186">
        <f t="shared" si="590"/>
        <v>3.0845830875962057</v>
      </c>
      <c r="Q202" s="186">
        <f t="shared" si="590"/>
        <v>3.1538857729114129</v>
      </c>
      <c r="R202" s="186">
        <f t="shared" si="590"/>
        <v>3.2231884582266197</v>
      </c>
      <c r="S202" s="186">
        <f t="shared" si="590"/>
        <v>3.2975681816455502</v>
      </c>
      <c r="T202" s="186">
        <f t="shared" si="590"/>
        <v>3.3719479050644807</v>
      </c>
      <c r="U202" s="186">
        <f t="shared" si="590"/>
        <v>3.2307925160925155</v>
      </c>
      <c r="V202" s="186">
        <f t="shared" si="590"/>
        <v>3.2493299555276773</v>
      </c>
      <c r="W202" s="186">
        <f t="shared" si="590"/>
        <v>3.3497650794758278</v>
      </c>
      <c r="X202" s="186">
        <f t="shared" si="590"/>
        <v>3.4502002034239783</v>
      </c>
      <c r="Y202" s="186">
        <f t="shared" si="590"/>
        <v>3.5506353273721287</v>
      </c>
      <c r="Z202" s="186">
        <f t="shared" si="590"/>
        <v>3.6510704513202792</v>
      </c>
      <c r="AA202" s="186">
        <f t="shared" si="590"/>
        <v>3.7515055752684296</v>
      </c>
      <c r="AB202" s="186">
        <f t="shared" si="590"/>
        <v>3.8519406992165801</v>
      </c>
      <c r="AC202" s="186">
        <f t="shared" si="590"/>
        <v>3.9523758231647306</v>
      </c>
      <c r="AD202" s="186">
        <f t="shared" si="590"/>
        <v>4.0528109471128806</v>
      </c>
      <c r="AE202" s="186">
        <f t="shared" si="590"/>
        <v>4.1532460710610311</v>
      </c>
      <c r="AF202" s="186">
        <f t="shared" si="590"/>
        <v>4.2873563998258852</v>
      </c>
      <c r="AG202" s="186">
        <f t="shared" si="590"/>
        <v>4.4214667285907394</v>
      </c>
      <c r="AH202" s="186">
        <f t="shared" si="590"/>
        <v>4.5555770573555936</v>
      </c>
      <c r="AI202" s="186">
        <f t="shared" si="590"/>
        <v>4.6896873861204478</v>
      </c>
      <c r="AJ202" s="186">
        <f t="shared" si="590"/>
        <v>4.823797714885302</v>
      </c>
      <c r="AK202" s="186">
        <f t="shared" si="590"/>
        <v>4.9579080436501561</v>
      </c>
      <c r="AL202" s="186">
        <f t="shared" si="590"/>
        <v>5.0920183724150103</v>
      </c>
      <c r="AM202" s="186">
        <f t="shared" si="590"/>
        <v>5.2261287011798645</v>
      </c>
      <c r="AN202" s="186">
        <f t="shared" si="590"/>
        <v>5.3602390299447187</v>
      </c>
      <c r="AO202" s="186">
        <f t="shared" si="590"/>
        <v>5.4943493587095693</v>
      </c>
      <c r="AP202" s="186">
        <f t="shared" si="590"/>
        <v>5.6392635300441309</v>
      </c>
      <c r="AQ202" s="186">
        <f t="shared" si="590"/>
        <v>6.9434910720551821</v>
      </c>
      <c r="AR202" s="186">
        <f t="shared" si="590"/>
        <v>6.9434910720551821</v>
      </c>
      <c r="AS202" s="186">
        <f>IF(AS$199=-1,#REF!,IF(AS$199=99,AR202,IF(AS$199=0,INDEX($E188:$M188,0,AS$197),(INDEX($E188:$M188,0,AS$199+1)-INDEX($E188:$M188,0,AS$199))/(INDEX($E$185:$M$185,0,AS$199+1)-INDEX($E$185:$M$185,0,AS$199))+AR202)))</f>
        <v>6.9434910720551821</v>
      </c>
      <c r="AT202" s="186"/>
      <c r="AW202" s="186"/>
      <c r="AX202" s="186"/>
      <c r="BH202" s="186">
        <f t="shared" si="587"/>
        <v>3.1893877916903843</v>
      </c>
      <c r="BI202" s="109">
        <f t="shared" si="588"/>
        <v>0</v>
      </c>
    </row>
    <row r="203" spans="1:61">
      <c r="A203" s="185" t="s">
        <v>16</v>
      </c>
      <c r="B203" s="22" t="str">
        <f t="shared" si="581"/>
        <v/>
      </c>
      <c r="C203" s="23" t="str">
        <f t="shared" si="582"/>
        <v/>
      </c>
      <c r="D203" s="57" t="str">
        <f t="shared" si="583"/>
        <v>TPPUBUS</v>
      </c>
      <c r="E203" s="23" t="str">
        <f t="shared" si="584"/>
        <v/>
      </c>
      <c r="F203" s="23"/>
      <c r="H203" s="23" t="str">
        <f t="shared" si="584"/>
        <v/>
      </c>
      <c r="J203" s="23" t="str">
        <f t="shared" si="584"/>
        <v/>
      </c>
      <c r="K203" s="23" t="str">
        <f t="shared" si="584"/>
        <v/>
      </c>
      <c r="L203" s="22" t="str">
        <f t="shared" si="585"/>
        <v/>
      </c>
      <c r="M203" s="186">
        <f>INDEX('[2]TS BYDem'!J$10:J$59,MATCH($D203,'[2]TS BYDem'!D$10:D$59,0))</f>
        <v>1.4990333520535337</v>
      </c>
      <c r="N203" s="186">
        <f t="shared" ref="N203:AR203" si="591">IF(N$199=-1,O203,IF(N$199=99,M203,IF(N$199=0,INDEX($E189:$M189,0,N$197),(INDEX($E189:$M189,0,N$199+1)-INDEX($E189:$M189,0,N$199))/(INDEX($E$185:$M$185,0,N$199+1)-INDEX($E$185:$M$185,0,N$199))+M203)))</f>
        <v>1.6598944715658182</v>
      </c>
      <c r="O203" s="186">
        <f t="shared" si="591"/>
        <v>1.8207555910781026</v>
      </c>
      <c r="P203" s="186">
        <f t="shared" si="591"/>
        <v>1.1005748482544424</v>
      </c>
      <c r="Q203" s="186">
        <f t="shared" si="591"/>
        <v>0.93083933163040378</v>
      </c>
      <c r="R203" s="186">
        <f t="shared" si="591"/>
        <v>0.76110381500636504</v>
      </c>
      <c r="S203" s="186">
        <f t="shared" si="591"/>
        <v>0.76999357397639234</v>
      </c>
      <c r="T203" s="186">
        <f t="shared" si="591"/>
        <v>0.77888333294641976</v>
      </c>
      <c r="U203" s="186">
        <f t="shared" si="591"/>
        <v>0.80526146705118407</v>
      </c>
      <c r="V203" s="186">
        <f t="shared" si="591"/>
        <v>0.79864085897196158</v>
      </c>
      <c r="W203" s="186">
        <f t="shared" si="591"/>
        <v>0.80014418379960661</v>
      </c>
      <c r="X203" s="186">
        <f t="shared" si="591"/>
        <v>0.80164750862725165</v>
      </c>
      <c r="Y203" s="186">
        <f t="shared" si="591"/>
        <v>0.80315083345489668</v>
      </c>
      <c r="Z203" s="186">
        <f t="shared" si="591"/>
        <v>0.80465415828254172</v>
      </c>
      <c r="AA203" s="186">
        <f t="shared" si="591"/>
        <v>0.80615748311018676</v>
      </c>
      <c r="AB203" s="186">
        <f t="shared" si="591"/>
        <v>0.80766080793783179</v>
      </c>
      <c r="AC203" s="186">
        <f t="shared" si="591"/>
        <v>0.80916413276547683</v>
      </c>
      <c r="AD203" s="186">
        <f t="shared" si="591"/>
        <v>0.81066745759312187</v>
      </c>
      <c r="AE203" s="186">
        <f t="shared" si="591"/>
        <v>0.81217078242076668</v>
      </c>
      <c r="AF203" s="186">
        <f t="shared" si="591"/>
        <v>0.80722998005492086</v>
      </c>
      <c r="AG203" s="186">
        <f t="shared" si="591"/>
        <v>0.80228917768907504</v>
      </c>
      <c r="AH203" s="186">
        <f t="shared" si="591"/>
        <v>0.79734837532322922</v>
      </c>
      <c r="AI203" s="186">
        <f t="shared" si="591"/>
        <v>0.7924075729573834</v>
      </c>
      <c r="AJ203" s="186">
        <f t="shared" si="591"/>
        <v>0.78746677059153758</v>
      </c>
      <c r="AK203" s="186">
        <f t="shared" si="591"/>
        <v>0.78252596822569176</v>
      </c>
      <c r="AL203" s="186">
        <f t="shared" si="591"/>
        <v>0.77758516585984594</v>
      </c>
      <c r="AM203" s="186">
        <f t="shared" si="591"/>
        <v>0.77264436349400012</v>
      </c>
      <c r="AN203" s="186">
        <f t="shared" si="591"/>
        <v>0.7677035611281543</v>
      </c>
      <c r="AO203" s="186">
        <f t="shared" si="591"/>
        <v>0.7627627587623087</v>
      </c>
      <c r="AP203" s="186">
        <f t="shared" si="591"/>
        <v>0.75520132681099517</v>
      </c>
      <c r="AQ203" s="186">
        <f t="shared" si="591"/>
        <v>0.68714843924917279</v>
      </c>
      <c r="AR203" s="186">
        <f t="shared" si="591"/>
        <v>0.68714843924917279</v>
      </c>
      <c r="AS203" s="186">
        <f>IF(AS$199=-1,#REF!,IF(AS$199=99,AR203,IF(AS$199=0,INDEX($E189:$M189,0,AS$197),(INDEX($E189:$M189,0,AS$199+1)-INDEX($E189:$M189,0,AS$199))/(INDEX($E$185:$M$185,0,AS$199+1)-INDEX($E$185:$M$185,0,AS$199))+AR203)))</f>
        <v>0.68714843924917279</v>
      </c>
      <c r="AT203" s="186"/>
      <c r="AW203" s="186"/>
      <c r="AX203" s="186"/>
      <c r="BH203" s="186">
        <f t="shared" si="587"/>
        <v>0.61799148971758899</v>
      </c>
      <c r="BI203" s="109">
        <f t="shared" si="588"/>
        <v>0.5877400000000006</v>
      </c>
    </row>
    <row r="204" spans="1:61">
      <c r="A204" s="185" t="s">
        <v>16</v>
      </c>
      <c r="B204" s="22" t="str">
        <f t="shared" si="581"/>
        <v/>
      </c>
      <c r="C204" s="23" t="str">
        <f t="shared" si="582"/>
        <v/>
      </c>
      <c r="D204" s="57" t="str">
        <f t="shared" si="583"/>
        <v>TPPUMBT</v>
      </c>
      <c r="E204" s="23" t="str">
        <f t="shared" si="584"/>
        <v/>
      </c>
      <c r="F204" s="23"/>
      <c r="H204" s="23" t="str">
        <f t="shared" si="584"/>
        <v/>
      </c>
      <c r="J204" s="23" t="str">
        <f t="shared" si="584"/>
        <v/>
      </c>
      <c r="K204" s="23" t="str">
        <f t="shared" si="584"/>
        <v/>
      </c>
      <c r="L204" s="22" t="str">
        <f t="shared" si="585"/>
        <v/>
      </c>
      <c r="M204" s="186">
        <f>INDEX('[2]TS BYDem'!J$10:J$59,MATCH($D204,'[2]TS BYDem'!D$10:D$59,0))</f>
        <v>6.4978638621089795</v>
      </c>
      <c r="N204" s="186">
        <f t="shared" ref="N204:AR204" si="592">IF(N$199=-1,O204,IF(N$199=99,M204,IF(N$199=0,INDEX($E190:$M190,0,N$197),(INDEX($E190:$M190,0,N$199+1)-INDEX($E190:$M190,0,N$199))/(INDEX($E$185:$M$185,0,N$199+1)-INDEX($E$185:$M$185,0,N$199))+M204)))</f>
        <v>6.7977763122946264</v>
      </c>
      <c r="O204" s="186">
        <f t="shared" si="592"/>
        <v>7.0976887624802734</v>
      </c>
      <c r="P204" s="186">
        <f t="shared" si="592"/>
        <v>6.8127701567981385</v>
      </c>
      <c r="Q204" s="24">
        <f t="shared" si="592"/>
        <v>7.0016088184448213</v>
      </c>
      <c r="R204" s="186">
        <f t="shared" si="592"/>
        <v>7.1904474800915041</v>
      </c>
      <c r="S204" s="186">
        <f t="shared" si="592"/>
        <v>7.2744325340675111</v>
      </c>
      <c r="T204" s="186">
        <f t="shared" si="592"/>
        <v>7.3584175880435181</v>
      </c>
      <c r="U204" s="186">
        <f t="shared" si="592"/>
        <v>7.6076222092311436</v>
      </c>
      <c r="V204" s="186">
        <f t="shared" si="592"/>
        <v>7.5450747173630077</v>
      </c>
      <c r="W204" s="186">
        <f t="shared" si="592"/>
        <v>7.5592772190527517</v>
      </c>
      <c r="X204" s="186">
        <f t="shared" si="592"/>
        <v>7.5734797207424958</v>
      </c>
      <c r="Y204" s="186">
        <f t="shared" si="592"/>
        <v>7.5876822224322398</v>
      </c>
      <c r="Z204" s="186">
        <f t="shared" si="592"/>
        <v>7.6018847241219838</v>
      </c>
      <c r="AA204" s="186">
        <f t="shared" si="592"/>
        <v>7.6160872258117278</v>
      </c>
      <c r="AB204" s="186">
        <f t="shared" si="592"/>
        <v>7.6302897275014718</v>
      </c>
      <c r="AC204" s="186">
        <f t="shared" si="592"/>
        <v>7.6444922291912158</v>
      </c>
      <c r="AD204" s="186">
        <f t="shared" si="592"/>
        <v>7.6586947308809599</v>
      </c>
      <c r="AE204" s="186">
        <f t="shared" si="592"/>
        <v>7.6728972325707065</v>
      </c>
      <c r="AF204" s="186">
        <f t="shared" si="592"/>
        <v>7.6262195268219468</v>
      </c>
      <c r="AG204" s="186">
        <f t="shared" si="592"/>
        <v>7.5795418210731871</v>
      </c>
      <c r="AH204" s="186">
        <f t="shared" si="592"/>
        <v>7.5328641153244273</v>
      </c>
      <c r="AI204" s="186">
        <f t="shared" si="592"/>
        <v>7.4861864095756676</v>
      </c>
      <c r="AJ204" s="186">
        <f t="shared" si="592"/>
        <v>7.4395087038269079</v>
      </c>
      <c r="AK204" s="186">
        <f t="shared" si="592"/>
        <v>7.3928309980781481</v>
      </c>
      <c r="AL204" s="186">
        <f t="shared" si="592"/>
        <v>7.3461532923293884</v>
      </c>
      <c r="AM204" s="186">
        <f t="shared" si="592"/>
        <v>7.2994755865806287</v>
      </c>
      <c r="AN204" s="186">
        <f t="shared" si="592"/>
        <v>7.2527978808318689</v>
      </c>
      <c r="AO204" s="186">
        <f t="shared" si="592"/>
        <v>7.2061201750831048</v>
      </c>
      <c r="AP204" s="186">
        <f t="shared" si="592"/>
        <v>7.1346843495778138</v>
      </c>
      <c r="AQ204" s="186">
        <f t="shared" si="592"/>
        <v>6.4917619200301919</v>
      </c>
      <c r="AR204" s="186">
        <f t="shared" si="592"/>
        <v>6.4917619200301919</v>
      </c>
      <c r="AS204" s="186">
        <f>IF(AS$199=-1,#REF!,IF(AS$199=99,AR204,IF(AS$199=0,INDEX($E190:$M190,0,AS$197),(INDEX($E190:$M190,0,AS$199+1)-INDEX($E190:$M190,0,AS$199))/(INDEX($E$185:$M$185,0,AS$199+1)-INDEX($E$185:$M$185,0,AS$199))+AR204)))</f>
        <v>6.4917619200301919</v>
      </c>
      <c r="AT204" s="186"/>
      <c r="AW204" s="186"/>
      <c r="AX204" s="186"/>
      <c r="BH204" s="186">
        <f t="shared" si="587"/>
        <v>5.9130328062411968</v>
      </c>
      <c r="BI204" s="109">
        <f t="shared" si="588"/>
        <v>9.0003587067760918E-2</v>
      </c>
    </row>
    <row r="205" spans="1:61">
      <c r="A205" s="185" t="s">
        <v>16</v>
      </c>
      <c r="B205" s="22" t="str">
        <f t="shared" si="581"/>
        <v/>
      </c>
      <c r="C205" s="23" t="str">
        <f t="shared" si="582"/>
        <v/>
      </c>
      <c r="D205" s="57" t="str">
        <f t="shared" si="583"/>
        <v>TPPUBRT</v>
      </c>
      <c r="E205" s="23" t="str">
        <f t="shared" si="584"/>
        <v/>
      </c>
      <c r="F205" s="23"/>
      <c r="H205" s="23" t="str">
        <f t="shared" si="584"/>
        <v/>
      </c>
      <c r="J205" s="23" t="str">
        <f t="shared" si="584"/>
        <v/>
      </c>
      <c r="K205" s="23" t="str">
        <f t="shared" si="584"/>
        <v/>
      </c>
      <c r="L205" s="22" t="str">
        <f t="shared" si="585"/>
        <v/>
      </c>
      <c r="M205" s="186">
        <f>INDEX('[2]TS BYDem'!J$10:J$59,MATCH($D205,'[2]TS BYDem'!D$10:D$59,0))</f>
        <v>0</v>
      </c>
      <c r="N205" s="186">
        <f t="shared" ref="N205:AR205" si="593">IF(N$199=-1,O205,IF(N$199=99,M205,IF(N$199=0,INDEX($E191:$M191,0,N$197),(INDEX($E191:$M191,0,N$199+1)-INDEX($E191:$M191,0,N$199))/(INDEX($E$185:$M$185,0,N$199+1)-INDEX($E$185:$M$185,0,N$199))+M205)))</f>
        <v>3.3940368947129678E-3</v>
      </c>
      <c r="O205" s="186">
        <f t="shared" si="593"/>
        <v>6.7880737894259356E-3</v>
      </c>
      <c r="P205" s="186">
        <f t="shared" si="593"/>
        <v>3.1269715527094177E-2</v>
      </c>
      <c r="Q205" s="186">
        <f t="shared" si="593"/>
        <v>4.7094773068544926E-2</v>
      </c>
      <c r="R205" s="186">
        <f t="shared" si="593"/>
        <v>6.2919830609995675E-2</v>
      </c>
      <c r="S205" s="186">
        <f t="shared" si="593"/>
        <v>8.2239758862255277E-2</v>
      </c>
      <c r="T205" s="186">
        <f t="shared" si="593"/>
        <v>0.10155968711451488</v>
      </c>
      <c r="U205" s="186">
        <f t="shared" si="593"/>
        <v>0.10425069329756113</v>
      </c>
      <c r="V205" s="186">
        <f t="shared" si="593"/>
        <v>0.29374525410217339</v>
      </c>
      <c r="W205" s="186">
        <f t="shared" si="593"/>
        <v>0.32419393261645385</v>
      </c>
      <c r="X205" s="186">
        <f t="shared" si="593"/>
        <v>0.35464261113073431</v>
      </c>
      <c r="Y205" s="186">
        <f t="shared" si="593"/>
        <v>0.38509128964501477</v>
      </c>
      <c r="Z205" s="186">
        <f t="shared" si="593"/>
        <v>0.41553996815929523</v>
      </c>
      <c r="AA205" s="186">
        <f t="shared" si="593"/>
        <v>0.44598864667357568</v>
      </c>
      <c r="AB205" s="186">
        <f t="shared" si="593"/>
        <v>0.47643732518785614</v>
      </c>
      <c r="AC205" s="186">
        <f t="shared" si="593"/>
        <v>0.50688600370213666</v>
      </c>
      <c r="AD205" s="186">
        <f t="shared" si="593"/>
        <v>0.53733468221641711</v>
      </c>
      <c r="AE205" s="186">
        <f t="shared" si="593"/>
        <v>0.56778336073069768</v>
      </c>
      <c r="AF205" s="186">
        <f t="shared" si="593"/>
        <v>0.61894654287448447</v>
      </c>
      <c r="AG205" s="186">
        <f t="shared" si="593"/>
        <v>0.67010972501827126</v>
      </c>
      <c r="AH205" s="186">
        <f t="shared" si="593"/>
        <v>0.72127290716205805</v>
      </c>
      <c r="AI205" s="186">
        <f t="shared" si="593"/>
        <v>0.77243608930584484</v>
      </c>
      <c r="AJ205" s="186">
        <f t="shared" si="593"/>
        <v>0.82359927144963163</v>
      </c>
      <c r="AK205" s="186">
        <f t="shared" si="593"/>
        <v>0.87476245359341842</v>
      </c>
      <c r="AL205" s="186">
        <f t="shared" si="593"/>
        <v>0.92592563573720521</v>
      </c>
      <c r="AM205" s="186">
        <f t="shared" si="593"/>
        <v>0.977088817880992</v>
      </c>
      <c r="AN205" s="186">
        <f t="shared" si="593"/>
        <v>1.0282520000247788</v>
      </c>
      <c r="AO205" s="186">
        <f t="shared" si="593"/>
        <v>1.0794151821685656</v>
      </c>
      <c r="AP205" s="186">
        <f t="shared" si="593"/>
        <v>1.1269311158267685</v>
      </c>
      <c r="AQ205" s="186">
        <f t="shared" si="593"/>
        <v>1.5545745187505957</v>
      </c>
      <c r="AR205" s="186">
        <f t="shared" si="593"/>
        <v>1.5545745187505957</v>
      </c>
      <c r="AS205" s="186">
        <f>IF(AS$199=-1,#REF!,IF(AS$199=99,AR205,IF(AS$199=0,INDEX($E191:$M191,0,AS$197),(INDEX($E191:$M191,0,AS$199+1)-INDEX($E191:$M191,0,AS$199))/(INDEX($E$185:$M$185,0,AS$199+1)-INDEX($E$185:$M$185,0,AS$199))+AR205)))</f>
        <v>1.5545745187505957</v>
      </c>
      <c r="AT205" s="186"/>
      <c r="AW205" s="186"/>
      <c r="AX205" s="186"/>
      <c r="BH205" s="186">
        <f t="shared" si="587"/>
        <v>2.1087604842955274E-2</v>
      </c>
      <c r="BI205" s="109" t="e">
        <f t="shared" si="588"/>
        <v>#DIV/0!</v>
      </c>
    </row>
    <row r="206" spans="1:61">
      <c r="A206" s="185" t="s">
        <v>16</v>
      </c>
      <c r="B206" s="22" t="str">
        <f t="shared" si="581"/>
        <v/>
      </c>
      <c r="C206" s="23" t="str">
        <f t="shared" si="582"/>
        <v/>
      </c>
      <c r="D206" s="57" t="str">
        <f t="shared" si="583"/>
        <v>TPPUMER</v>
      </c>
      <c r="E206" s="23" t="str">
        <f t="shared" si="584"/>
        <v/>
      </c>
      <c r="F206" s="23"/>
      <c r="H206" s="23" t="str">
        <f t="shared" si="584"/>
        <v/>
      </c>
      <c r="J206" s="23" t="str">
        <f t="shared" si="584"/>
        <v/>
      </c>
      <c r="K206" s="23" t="str">
        <f t="shared" si="584"/>
        <v/>
      </c>
      <c r="L206" s="22" t="str">
        <f t="shared" si="585"/>
        <v/>
      </c>
      <c r="M206" s="186">
        <f>INDEX('[2]TS BYDem'!J$10:J$59,MATCH($D206,'[2]TS BYDem'!D$10:D$59,0))</f>
        <v>15.8</v>
      </c>
      <c r="N206" s="186">
        <f t="shared" ref="N206:AR206" si="594">IF(N$199=-1,O206,IF(N$199=99,M206,IF(N$199=0,INDEX($E192:$M192,0,N$197),(INDEX($E192:$M192,0,N$199+1)-INDEX($E192:$M192,0,N$199))/(INDEX($E$185:$M$185,0,N$199+1)-INDEX($E$185:$M$185,0,N$199))+M206)))</f>
        <v>15.022572573488569</v>
      </c>
      <c r="O206" s="186">
        <f t="shared" si="594"/>
        <v>14.245145146977137</v>
      </c>
      <c r="P206" s="186">
        <f t="shared" si="594"/>
        <v>12.045661044795077</v>
      </c>
      <c r="Q206" s="186">
        <f t="shared" si="594"/>
        <v>10.458317282147467</v>
      </c>
      <c r="R206" s="186">
        <f t="shared" si="594"/>
        <v>8.8709735194998576</v>
      </c>
      <c r="S206" s="186">
        <f t="shared" si="594"/>
        <v>8.9745872642518663</v>
      </c>
      <c r="T206" s="186">
        <f t="shared" si="594"/>
        <v>9.0782010090038749</v>
      </c>
      <c r="U206" s="186">
        <f t="shared" si="594"/>
        <v>9.3856488558330522</v>
      </c>
      <c r="V206" s="186">
        <f t="shared" si="594"/>
        <v>9.3084829846394115</v>
      </c>
      <c r="W206" s="186">
        <f t="shared" si="594"/>
        <v>9.3260048449616253</v>
      </c>
      <c r="X206" s="186">
        <f t="shared" si="594"/>
        <v>9.3435267052838391</v>
      </c>
      <c r="Y206" s="186">
        <f t="shared" si="594"/>
        <v>9.3610485656060529</v>
      </c>
      <c r="Z206" s="186">
        <f t="shared" si="594"/>
        <v>9.3785704259282667</v>
      </c>
      <c r="AA206" s="186">
        <f t="shared" si="594"/>
        <v>9.3960922862504805</v>
      </c>
      <c r="AB206" s="186">
        <f t="shared" si="594"/>
        <v>9.4136141465726944</v>
      </c>
      <c r="AC206" s="186">
        <f t="shared" si="594"/>
        <v>9.4311360068949082</v>
      </c>
      <c r="AD206" s="186">
        <f t="shared" si="594"/>
        <v>9.448657867217122</v>
      </c>
      <c r="AE206" s="186">
        <f t="shared" si="594"/>
        <v>9.4661797275393322</v>
      </c>
      <c r="AF206" s="186">
        <f t="shared" si="594"/>
        <v>9.408592672937413</v>
      </c>
      <c r="AG206" s="186">
        <f t="shared" si="594"/>
        <v>9.3510056183354937</v>
      </c>
      <c r="AH206" s="186">
        <f t="shared" si="594"/>
        <v>9.2934185637335744</v>
      </c>
      <c r="AI206" s="186">
        <f t="shared" si="594"/>
        <v>9.2358315091316552</v>
      </c>
      <c r="AJ206" s="186">
        <f t="shared" si="594"/>
        <v>9.1782444545297359</v>
      </c>
      <c r="AK206" s="186">
        <f t="shared" si="594"/>
        <v>9.1206573999278167</v>
      </c>
      <c r="AL206" s="186">
        <f t="shared" si="594"/>
        <v>9.0630703453258974</v>
      </c>
      <c r="AM206" s="186">
        <f t="shared" si="594"/>
        <v>9.0054832907239781</v>
      </c>
      <c r="AN206" s="186">
        <f t="shared" si="594"/>
        <v>8.9478962361220589</v>
      </c>
      <c r="AO206" s="186">
        <f t="shared" si="594"/>
        <v>8.8903091815201449</v>
      </c>
      <c r="AP206" s="186">
        <f t="shared" si="594"/>
        <v>8.8021776266821998</v>
      </c>
      <c r="AQ206" s="186">
        <f t="shared" si="594"/>
        <v>8.0089936331406903</v>
      </c>
      <c r="AR206" s="186">
        <f t="shared" si="594"/>
        <v>8.0089936331406903</v>
      </c>
      <c r="AS206" s="186">
        <f>IF(AS$199=-1,#REF!,IF(AS$199=99,AR206,IF(AS$199=0,INDEX($E192:$M192,0,AS$197),(INDEX($E192:$M192,0,AS$199+1)-INDEX($E192:$M192,0,AS$199))/(INDEX($E$185:$M$185,0,AS$199+1)-INDEX($E$185:$M$185,0,AS$199))+AR206)))</f>
        <v>8.0089936331406903</v>
      </c>
      <c r="AT206" s="186"/>
      <c r="AW206" s="186"/>
      <c r="AX206" s="186"/>
      <c r="BH206" s="186">
        <f t="shared" si="587"/>
        <v>14.377943324329372</v>
      </c>
      <c r="BI206" s="109">
        <f t="shared" si="588"/>
        <v>9.0003587067761279E-2</v>
      </c>
    </row>
    <row r="207" spans="1:61">
      <c r="A207" s="185" t="s">
        <v>16</v>
      </c>
      <c r="B207" s="22" t="str">
        <f t="shared" si="581"/>
        <v/>
      </c>
      <c r="C207" s="23" t="str">
        <f t="shared" si="582"/>
        <v/>
      </c>
      <c r="D207" s="57" t="str">
        <f t="shared" si="583"/>
        <v>TPPUGAT</v>
      </c>
      <c r="E207" s="23" t="str">
        <f t="shared" si="584"/>
        <v/>
      </c>
      <c r="F207" s="23"/>
      <c r="H207" s="23" t="str">
        <f t="shared" si="584"/>
        <v/>
      </c>
      <c r="J207" s="23" t="str">
        <f t="shared" si="584"/>
        <v/>
      </c>
      <c r="K207" s="23" t="str">
        <f t="shared" si="584"/>
        <v/>
      </c>
      <c r="L207" s="22" t="str">
        <f t="shared" si="585"/>
        <v/>
      </c>
      <c r="M207" s="186">
        <f>INDEX('[2]TS BYDem'!J$10:J$59,MATCH($D207,'[2]TS BYDem'!D$10:D$59,0))</f>
        <v>0</v>
      </c>
      <c r="N207" s="186">
        <f t="shared" ref="N207:AR207" si="595">IF(N$199=-1,O207,IF(N$199=99,M207,IF(N$199=0,INDEX($E193:$M193,0,N$197),(INDEX($E193:$M193,0,N$199+1)-INDEX($E193:$M193,0,N$199))/(INDEX($E$185:$M$185,0,N$199+1)-INDEX($E$185:$M$185,0,N$199))+M207)))</f>
        <v>1.7959861551550455E-2</v>
      </c>
      <c r="O207" s="186">
        <f t="shared" si="595"/>
        <v>3.591972310310091E-2</v>
      </c>
      <c r="P207" s="186">
        <f t="shared" si="595"/>
        <v>0.58840536503250629</v>
      </c>
      <c r="Q207" s="186">
        <f t="shared" si="595"/>
        <v>0.60651580293507878</v>
      </c>
      <c r="R207" s="186">
        <f t="shared" si="595"/>
        <v>0.62462624083765128</v>
      </c>
      <c r="S207" s="186">
        <f t="shared" si="595"/>
        <v>0.64844460531963566</v>
      </c>
      <c r="T207" s="186">
        <f t="shared" si="595"/>
        <v>0.67226296980162004</v>
      </c>
      <c r="U207" s="186">
        <f t="shared" si="595"/>
        <v>0.64616666359533781</v>
      </c>
      <c r="V207" s="186">
        <f t="shared" si="595"/>
        <v>0.64672402075743496</v>
      </c>
      <c r="W207" s="186">
        <f t="shared" si="595"/>
        <v>0.66645524691108848</v>
      </c>
      <c r="X207" s="186">
        <f t="shared" si="595"/>
        <v>0.68618647306474201</v>
      </c>
      <c r="Y207" s="186">
        <f t="shared" si="595"/>
        <v>0.70591769921839553</v>
      </c>
      <c r="Z207" s="186">
        <f t="shared" si="595"/>
        <v>0.72564892537204906</v>
      </c>
      <c r="AA207" s="186">
        <f t="shared" si="595"/>
        <v>0.74538015152570258</v>
      </c>
      <c r="AB207" s="186">
        <f t="shared" si="595"/>
        <v>0.76511137767935611</v>
      </c>
      <c r="AC207" s="186">
        <f t="shared" si="595"/>
        <v>0.78484260383300963</v>
      </c>
      <c r="AD207" s="186">
        <f t="shared" si="595"/>
        <v>0.80457382998666316</v>
      </c>
      <c r="AE207" s="186">
        <f t="shared" si="595"/>
        <v>0.82430505614031691</v>
      </c>
      <c r="AF207" s="186">
        <f t="shared" si="595"/>
        <v>0.84744076044105265</v>
      </c>
      <c r="AG207" s="186">
        <f t="shared" si="595"/>
        <v>0.8705764647417884</v>
      </c>
      <c r="AH207" s="186">
        <f t="shared" si="595"/>
        <v>0.89371216904252415</v>
      </c>
      <c r="AI207" s="186">
        <f t="shared" si="595"/>
        <v>0.9168478733432599</v>
      </c>
      <c r="AJ207" s="186">
        <f t="shared" si="595"/>
        <v>0.93998357764399565</v>
      </c>
      <c r="AK207" s="186">
        <f t="shared" si="595"/>
        <v>0.9631192819447314</v>
      </c>
      <c r="AL207" s="186">
        <f t="shared" si="595"/>
        <v>0.98625498624546715</v>
      </c>
      <c r="AM207" s="186">
        <f t="shared" si="595"/>
        <v>1.0093906905462029</v>
      </c>
      <c r="AN207" s="186">
        <f t="shared" si="595"/>
        <v>1.0325263948469388</v>
      </c>
      <c r="AO207" s="186">
        <f t="shared" si="595"/>
        <v>1.0556620991476746</v>
      </c>
      <c r="AP207" s="186">
        <f t="shared" si="595"/>
        <v>1.0775599527138666</v>
      </c>
      <c r="AQ207" s="186">
        <f t="shared" si="595"/>
        <v>1.2746406348095956</v>
      </c>
      <c r="AR207" s="186">
        <f t="shared" si="595"/>
        <v>1.2746406348095956</v>
      </c>
      <c r="AS207" s="186">
        <f>IF(AS$199=-1,#REF!,IF(AS$199=99,AR207,IF(AS$199=0,INDEX($E193:$M193,0,AS$197),(INDEX($E193:$M193,0,AS$199+1)-INDEX($E193:$M193,0,AS$199))/(INDEX($E$185:$M$185,0,AS$199+1)-INDEX($E$185:$M$185,0,AS$199))+AR207)))</f>
        <v>1.2746406348095956</v>
      </c>
      <c r="AT207" s="186"/>
      <c r="AW207" s="186"/>
      <c r="AX207" s="186"/>
      <c r="BH207" s="186">
        <f t="shared" si="587"/>
        <v>0.53452578037785492</v>
      </c>
      <c r="BI207" s="109" t="e">
        <f t="shared" si="588"/>
        <v>#DIV/0!</v>
      </c>
    </row>
    <row r="208" spans="1:61">
      <c r="A208" s="185" t="s">
        <v>16</v>
      </c>
      <c r="G208" s="186"/>
      <c r="H208" s="186"/>
      <c r="I208" s="186"/>
      <c r="L208" s="186"/>
      <c r="M208" s="40"/>
      <c r="N208" s="233"/>
    </row>
    <row r="209" spans="1:58" s="324" customFormat="1" ht="23.25">
      <c r="A209" s="185" t="s">
        <v>16</v>
      </c>
      <c r="B209" s="16" t="s">
        <v>19</v>
      </c>
      <c r="C209" s="16" t="s">
        <v>20</v>
      </c>
      <c r="D209" s="16" t="s">
        <v>21</v>
      </c>
      <c r="E209" s="16" t="s">
        <v>22</v>
      </c>
      <c r="F209" s="16" t="s">
        <v>23</v>
      </c>
      <c r="G209" s="16" t="s">
        <v>24</v>
      </c>
      <c r="H209" s="16" t="s">
        <v>617</v>
      </c>
      <c r="I209" s="16" t="s">
        <v>652</v>
      </c>
      <c r="J209" s="16" t="s">
        <v>653</v>
      </c>
      <c r="K209" s="17" t="s">
        <v>25</v>
      </c>
      <c r="L209" s="186"/>
      <c r="M209" s="187"/>
      <c r="N209" s="233"/>
    </row>
    <row r="210" spans="1:58" s="324" customFormat="1">
      <c r="A210" s="114" t="s">
        <v>16</v>
      </c>
      <c r="B210" s="191">
        <v>1</v>
      </c>
      <c r="C210" s="191">
        <v>2012</v>
      </c>
      <c r="D210" s="191">
        <f>F4</f>
        <v>2015</v>
      </c>
      <c r="E210" s="191">
        <v>2017</v>
      </c>
      <c r="F210" s="191">
        <v>2019</v>
      </c>
      <c r="G210" s="191">
        <v>2020</v>
      </c>
      <c r="H210" s="191">
        <v>2021</v>
      </c>
      <c r="I210" s="191">
        <v>2030</v>
      </c>
      <c r="J210" s="191">
        <v>2040</v>
      </c>
      <c r="K210" s="237">
        <v>2050</v>
      </c>
      <c r="L210" s="186"/>
      <c r="M210" s="187"/>
      <c r="N210" s="233"/>
    </row>
    <row r="211" spans="1:58" s="324" customFormat="1">
      <c r="A211" s="40" t="s">
        <v>16</v>
      </c>
      <c r="B211" s="185">
        <v>0</v>
      </c>
      <c r="C211" s="185">
        <f>INDEX($C210:$K210,0,COUNT($C210:$K210)-C212)</f>
        <v>2050</v>
      </c>
      <c r="D211" s="283">
        <f>INDEX($C210:$K210,0,COUNT($C210:$K210)-D212)</f>
        <v>2040</v>
      </c>
      <c r="E211" s="283">
        <f>INDEX($C210:$K210,0,COUNT($C210:$K210)-E212)</f>
        <v>2030</v>
      </c>
      <c r="F211" s="283">
        <f>INDEX($C210:$K210,0,COUNT($C210:$K210)-F212)</f>
        <v>2021</v>
      </c>
      <c r="G211" s="283">
        <f>INDEX($C210:$K210,0,COUNT($C210:$K210)-G212)</f>
        <v>2020</v>
      </c>
      <c r="H211" s="283">
        <f>INDEX($C210:$K210,0,COUNT($C210:$K210)-H212)</f>
        <v>2019</v>
      </c>
      <c r="I211" s="283">
        <f>INDEX($C210:$K210,0,COUNT($C210:$K210)-I212)</f>
        <v>2017</v>
      </c>
      <c r="J211" s="283">
        <f>INDEX($C210:$K210,0,COUNT($C210:$K210)-J212)</f>
        <v>2015</v>
      </c>
      <c r="K211" s="283">
        <f>INDEX($C210:$K210,0,COUNT($C210:$K210)-K212)</f>
        <v>2012</v>
      </c>
      <c r="L211" s="186"/>
      <c r="M211" s="187"/>
      <c r="N211" s="233"/>
    </row>
    <row r="212" spans="1:58" s="324" customFormat="1">
      <c r="A212" s="40" t="s">
        <v>16</v>
      </c>
      <c r="B212" s="185">
        <v>-1</v>
      </c>
      <c r="C212" s="185">
        <v>0</v>
      </c>
      <c r="D212" s="283">
        <v>1</v>
      </c>
      <c r="E212" s="283">
        <v>2</v>
      </c>
      <c r="F212" s="283">
        <v>3</v>
      </c>
      <c r="G212" s="283">
        <v>4</v>
      </c>
      <c r="H212" s="283">
        <v>5</v>
      </c>
      <c r="I212" s="283">
        <v>6</v>
      </c>
      <c r="J212" s="283">
        <v>7</v>
      </c>
      <c r="K212" s="283">
        <v>8</v>
      </c>
      <c r="L212" s="186"/>
      <c r="M212" s="187"/>
      <c r="N212" s="233"/>
    </row>
    <row r="213" spans="1:58" s="324" customFormat="1">
      <c r="A213" s="116" t="s">
        <v>16</v>
      </c>
      <c r="B213" s="117"/>
      <c r="C213" s="117"/>
      <c r="D213" s="117"/>
      <c r="E213" s="117"/>
      <c r="F213" s="117"/>
      <c r="G213" s="117"/>
      <c r="H213" s="117"/>
      <c r="I213" s="117"/>
      <c r="J213" s="117"/>
      <c r="K213" s="122"/>
      <c r="L213" s="186"/>
      <c r="M213" s="187"/>
      <c r="N213" s="233"/>
    </row>
    <row r="214" spans="1:58">
      <c r="A214" s="116" t="s">
        <v>16</v>
      </c>
      <c r="J214" s="18">
        <v>2012</v>
      </c>
      <c r="K214" s="18">
        <f t="shared" ref="K214:AL214" si="596">1+J214</f>
        <v>2013</v>
      </c>
      <c r="L214" s="18">
        <f t="shared" si="596"/>
        <v>2014</v>
      </c>
      <c r="M214" s="18">
        <f t="shared" si="596"/>
        <v>2015</v>
      </c>
      <c r="N214" s="18">
        <f t="shared" si="596"/>
        <v>2016</v>
      </c>
      <c r="O214" s="18">
        <f t="shared" si="596"/>
        <v>2017</v>
      </c>
      <c r="P214" s="18">
        <f t="shared" si="596"/>
        <v>2018</v>
      </c>
      <c r="Q214" s="18">
        <f t="shared" si="596"/>
        <v>2019</v>
      </c>
      <c r="R214" s="18">
        <f t="shared" si="596"/>
        <v>2020</v>
      </c>
      <c r="S214" s="18">
        <f t="shared" si="596"/>
        <v>2021</v>
      </c>
      <c r="T214" s="18">
        <f t="shared" si="596"/>
        <v>2022</v>
      </c>
      <c r="U214" s="18">
        <f t="shared" si="596"/>
        <v>2023</v>
      </c>
      <c r="V214" s="18">
        <f t="shared" si="596"/>
        <v>2024</v>
      </c>
      <c r="W214" s="18">
        <f t="shared" si="596"/>
        <v>2025</v>
      </c>
      <c r="X214" s="18">
        <f t="shared" si="596"/>
        <v>2026</v>
      </c>
      <c r="Y214" s="18">
        <f t="shared" si="596"/>
        <v>2027</v>
      </c>
      <c r="Z214" s="18">
        <f t="shared" si="596"/>
        <v>2028</v>
      </c>
      <c r="AA214" s="18">
        <f t="shared" si="596"/>
        <v>2029</v>
      </c>
      <c r="AB214" s="18">
        <f t="shared" si="596"/>
        <v>2030</v>
      </c>
      <c r="AC214" s="18">
        <f t="shared" si="596"/>
        <v>2031</v>
      </c>
      <c r="AD214" s="18">
        <f t="shared" si="596"/>
        <v>2032</v>
      </c>
      <c r="AE214" s="18">
        <f t="shared" si="596"/>
        <v>2033</v>
      </c>
      <c r="AF214" s="18">
        <f t="shared" si="596"/>
        <v>2034</v>
      </c>
      <c r="AG214" s="18">
        <f t="shared" si="596"/>
        <v>2035</v>
      </c>
      <c r="AH214" s="18">
        <f t="shared" si="596"/>
        <v>2036</v>
      </c>
      <c r="AI214" s="18">
        <f t="shared" si="596"/>
        <v>2037</v>
      </c>
      <c r="AJ214" s="18">
        <f t="shared" si="596"/>
        <v>2038</v>
      </c>
      <c r="AK214" s="18">
        <f t="shared" si="596"/>
        <v>2039</v>
      </c>
      <c r="AL214" s="18">
        <f t="shared" si="596"/>
        <v>2040</v>
      </c>
      <c r="AM214" s="18">
        <v>2045</v>
      </c>
      <c r="AN214" s="18">
        <v>2050</v>
      </c>
      <c r="AO214" s="18">
        <v>2060</v>
      </c>
      <c r="AP214" s="18">
        <v>2070</v>
      </c>
      <c r="AQ214" s="18"/>
      <c r="AT214" s="18"/>
      <c r="AU214" s="18"/>
      <c r="BE214" s="18">
        <v>2012</v>
      </c>
      <c r="BF214" s="18"/>
    </row>
    <row r="215" spans="1:58" s="191" customFormat="1">
      <c r="A215" s="116" t="s">
        <v>16</v>
      </c>
      <c r="J215" s="114">
        <f>MATCH(J$214,$C$210:$K$210,$B210)</f>
        <v>1</v>
      </c>
      <c r="K215" s="191">
        <f>MATCH(K$214,$C$210:$K$210,$B210)</f>
        <v>1</v>
      </c>
      <c r="L215" s="191">
        <f>MATCH(L$214,$C$210:$K$210,$B210)</f>
        <v>1</v>
      </c>
      <c r="M215" s="191">
        <f>MATCH(M$214,$C$210:$K$210,$B210)</f>
        <v>2</v>
      </c>
      <c r="N215" s="191">
        <f>MATCH(N$214,$C$210:$K$210,$B210)</f>
        <v>2</v>
      </c>
      <c r="O215" s="191">
        <f>MATCH(O$214,$C$210:$K$210,$B210)</f>
        <v>3</v>
      </c>
      <c r="P215" s="191">
        <f>MATCH(P$214,$C$210:$K$210,$B210)</f>
        <v>3</v>
      </c>
      <c r="Q215" s="191">
        <f>MATCH(Q$214,$C$210:$K$210,$B210)</f>
        <v>4</v>
      </c>
      <c r="R215" s="191">
        <f>MATCH(R$214,$C$210:$K$210,$B210)</f>
        <v>5</v>
      </c>
      <c r="S215" s="191">
        <f>MATCH(S$214,$C$210:$K$210,$B210)</f>
        <v>6</v>
      </c>
      <c r="T215" s="191">
        <f>MATCH(T$214,$C$210:$K$210,$B210)</f>
        <v>6</v>
      </c>
      <c r="U215" s="191">
        <f>MATCH(U$214,$C$210:$K$210,$B210)</f>
        <v>6</v>
      </c>
      <c r="V215" s="191">
        <f>MATCH(V$214,$C$210:$K$210,$B210)</f>
        <v>6</v>
      </c>
      <c r="W215" s="191">
        <f>MATCH(W$214,$C$210:$K$210,$B210)</f>
        <v>6</v>
      </c>
      <c r="X215" s="191">
        <f>MATCH(X$214,$C$210:$K$210,$B210)</f>
        <v>6</v>
      </c>
      <c r="Y215" s="191">
        <f>MATCH(Y$214,$C$210:$K$210,$B210)</f>
        <v>6</v>
      </c>
      <c r="Z215" s="191">
        <f>MATCH(Z$214,$C$210:$K$210,$B210)</f>
        <v>6</v>
      </c>
      <c r="AA215" s="191">
        <f>MATCH(AA$214,$C$210:$K$210,$B210)</f>
        <v>6</v>
      </c>
      <c r="AB215" s="191">
        <f>MATCH(AB$214,$C$210:$K$210,$B210)</f>
        <v>7</v>
      </c>
      <c r="AC215" s="191">
        <f>MATCH(AC$214,$C$210:$K$210,$B210)</f>
        <v>7</v>
      </c>
      <c r="AD215" s="191">
        <f>MATCH(AD$214,$C$210:$K$210,$B210)</f>
        <v>7</v>
      </c>
      <c r="AE215" s="191">
        <f>MATCH(AE$214,$C$210:$K$210,$B210)</f>
        <v>7</v>
      </c>
      <c r="AF215" s="191">
        <f>MATCH(AF$214,$C$210:$K$210,$B210)</f>
        <v>7</v>
      </c>
      <c r="AG215" s="191">
        <f>MATCH(AG$214,$C$210:$K$210,$B210)</f>
        <v>7</v>
      </c>
      <c r="AH215" s="191">
        <f>MATCH(AH$214,$C$210:$K$210,$B210)</f>
        <v>7</v>
      </c>
      <c r="AI215" s="191">
        <f>MATCH(AI$214,$C$210:$K$210,$B210)</f>
        <v>7</v>
      </c>
      <c r="AJ215" s="191">
        <f>MATCH(AJ$214,$C$210:$K$210,$B210)</f>
        <v>7</v>
      </c>
      <c r="AK215" s="191">
        <f>MATCH(AK$214,$C$210:$K$210,$B210)</f>
        <v>7</v>
      </c>
      <c r="AL215" s="191">
        <f>MATCH(AL$214,$C$210:$K$210,$B210)</f>
        <v>8</v>
      </c>
      <c r="AM215" s="191">
        <f>MATCH(AM$214,$C$210:$K$210,$B210)</f>
        <v>8</v>
      </c>
      <c r="AN215" s="191">
        <f>MATCH(AN$214,$C$210:$K$210,$B210)</f>
        <v>9</v>
      </c>
      <c r="AO215" s="191">
        <f>MATCH(AO$214,$C$210:$K$210,$B210)</f>
        <v>9</v>
      </c>
      <c r="AP215" s="191">
        <f>MATCH(AP$214,$C$210:$K$210,$B210)</f>
        <v>9</v>
      </c>
      <c r="BE215" s="114">
        <f>MATCH(BE$214,$C$210:$K$210,$B210)</f>
        <v>1</v>
      </c>
    </row>
    <row r="216" spans="1:58">
      <c r="A216" s="116" t="s">
        <v>16</v>
      </c>
      <c r="J216" s="40">
        <f>MATCH(J$214,$C$210:$K$210,$B211)</f>
        <v>1</v>
      </c>
      <c r="K216" s="185" t="e">
        <f>MATCH(K$214,$C$210:$K$210,$B211)</f>
        <v>#N/A</v>
      </c>
      <c r="L216" s="185" t="e">
        <f>MATCH(L$214,$C$210:$K$210,$B211)</f>
        <v>#N/A</v>
      </c>
      <c r="M216" s="185">
        <f>MATCH(M$214,$C$210:$K$210,$B211)</f>
        <v>2</v>
      </c>
      <c r="N216" s="185" t="e">
        <f>MATCH(N$214,$C$210:$K$210,$B211)</f>
        <v>#N/A</v>
      </c>
      <c r="O216" s="185">
        <f>MATCH(O$214,$C$210:$K$210,$B211)</f>
        <v>3</v>
      </c>
      <c r="P216" s="185" t="e">
        <f>MATCH(P$214,$C$210:$K$210,$B211)</f>
        <v>#N/A</v>
      </c>
      <c r="Q216" s="185">
        <f>MATCH(Q$214,$C$210:$K$210,$B211)</f>
        <v>4</v>
      </c>
      <c r="R216" s="185">
        <f>MATCH(R$214,$C$210:$K$210,$B211)</f>
        <v>5</v>
      </c>
      <c r="S216" s="185">
        <f>MATCH(S$214,$C$210:$K$210,$B211)</f>
        <v>6</v>
      </c>
      <c r="T216" s="185" t="e">
        <f>MATCH(T$214,$C$210:$K$210,$B211)</f>
        <v>#N/A</v>
      </c>
      <c r="U216" s="185" t="e">
        <f>MATCH(U$214,$C$210:$K$210,$B211)</f>
        <v>#N/A</v>
      </c>
      <c r="V216" s="185" t="e">
        <f>MATCH(V$214,$C$210:$K$210,$B211)</f>
        <v>#N/A</v>
      </c>
      <c r="W216" s="185" t="e">
        <f>MATCH(W$214,$C$210:$K$210,$B211)</f>
        <v>#N/A</v>
      </c>
      <c r="X216" s="185" t="e">
        <f>MATCH(X$214,$C$210:$K$210,$B211)</f>
        <v>#N/A</v>
      </c>
      <c r="Y216" s="185" t="e">
        <f>MATCH(Y$214,$C$210:$K$210,$B211)</f>
        <v>#N/A</v>
      </c>
      <c r="Z216" s="185" t="e">
        <f>MATCH(Z$214,$C$210:$K$210,$B211)</f>
        <v>#N/A</v>
      </c>
      <c r="AA216" s="185" t="e">
        <f>MATCH(AA$214,$C$210:$K$210,$B211)</f>
        <v>#N/A</v>
      </c>
      <c r="AB216" s="185">
        <f>MATCH(AB$214,$C$210:$K$210,$B211)</f>
        <v>7</v>
      </c>
      <c r="AC216" s="185" t="e">
        <f>MATCH(AC$214,$C$210:$K$210,$B211)</f>
        <v>#N/A</v>
      </c>
      <c r="AD216" s="185" t="e">
        <f>MATCH(AD$214,$C$210:$K$210,$B211)</f>
        <v>#N/A</v>
      </c>
      <c r="AE216" s="185" t="e">
        <f>MATCH(AE$214,$C$210:$K$210,$B211)</f>
        <v>#N/A</v>
      </c>
      <c r="AF216" s="185" t="e">
        <f>MATCH(AF$214,$C$210:$K$210,$B211)</f>
        <v>#N/A</v>
      </c>
      <c r="AG216" s="185" t="e">
        <f>MATCH(AG$214,$C$210:$K$210,$B211)</f>
        <v>#N/A</v>
      </c>
      <c r="AH216" s="185" t="e">
        <f>MATCH(AH$214,$C$210:$K$210,$B211)</f>
        <v>#N/A</v>
      </c>
      <c r="AI216" s="185" t="e">
        <f>MATCH(AI$214,$C$210:$K$210,$B211)</f>
        <v>#N/A</v>
      </c>
      <c r="AJ216" s="185" t="e">
        <f>MATCH(AJ$214,$C$210:$K$210,$B211)</f>
        <v>#N/A</v>
      </c>
      <c r="AK216" s="185" t="e">
        <f>MATCH(AK$214,$C$210:$K$210,$B211)</f>
        <v>#N/A</v>
      </c>
      <c r="AL216" s="185">
        <f>MATCH(AL$214,$C$210:$K$210,$B211)</f>
        <v>8</v>
      </c>
      <c r="AM216" s="185" t="e">
        <f>MATCH(AM$214,$C$210:$K$210,$B211)</f>
        <v>#N/A</v>
      </c>
      <c r="AN216" s="185">
        <f>MATCH(AN$214,$C$210:$K$210,$B211)</f>
        <v>9</v>
      </c>
      <c r="AO216" s="185" t="e">
        <f>MATCH(AO$214,$C$210:$K$210,$B211)</f>
        <v>#N/A</v>
      </c>
      <c r="AP216" s="185" t="e">
        <f>MATCH(AP$214,$C$210:$K$210,$B211)</f>
        <v>#N/A</v>
      </c>
      <c r="BE216" s="40">
        <f>MATCH(BE$214,$C$210:$K$210,$B211)</f>
        <v>1</v>
      </c>
    </row>
    <row r="217" spans="1:58">
      <c r="A217" s="116" t="s">
        <v>16</v>
      </c>
      <c r="J217" s="185">
        <f>MATCH(J$214,$C$211:$K$211,$B212)</f>
        <v>9</v>
      </c>
      <c r="K217" s="185">
        <f>MATCH(K$214,$C$211:$K$211,$B212)</f>
        <v>8</v>
      </c>
      <c r="L217" s="185">
        <f>MATCH(L$214,$C$211:$K$211,$B212)</f>
        <v>8</v>
      </c>
      <c r="M217" s="185">
        <f>MATCH(M$214,$C$211:$K$211,$B212)</f>
        <v>8</v>
      </c>
      <c r="N217" s="185">
        <f>MATCH(N$214,$C$211:$K$211,$B212)</f>
        <v>7</v>
      </c>
      <c r="O217" s="185">
        <f>MATCH(O$214,$C$211:$K$211,$B212)</f>
        <v>7</v>
      </c>
      <c r="P217" s="185">
        <f>MATCH(P$214,$C$211:$K$211,$B212)</f>
        <v>6</v>
      </c>
      <c r="Q217" s="185">
        <f>MATCH(Q$214,$C$211:$K$211,$B212)</f>
        <v>6</v>
      </c>
      <c r="R217" s="185">
        <f>MATCH(R$214,$C$211:$K$211,$B212)</f>
        <v>5</v>
      </c>
      <c r="S217" s="185">
        <f>MATCH(S$214,$C$211:$K$211,$B212)</f>
        <v>4</v>
      </c>
      <c r="T217" s="185">
        <f>MATCH(T$214,$C$211:$K$211,$B212)</f>
        <v>3</v>
      </c>
      <c r="U217" s="185">
        <f>MATCH(U$214,$C$211:$K$211,$B212)</f>
        <v>3</v>
      </c>
      <c r="V217" s="185">
        <f>MATCH(V$214,$C$211:$K$211,$B212)</f>
        <v>3</v>
      </c>
      <c r="W217" s="185">
        <f>MATCH(W$214,$C$211:$K$211,$B212)</f>
        <v>3</v>
      </c>
      <c r="X217" s="185">
        <f>MATCH(X$214,$C$211:$K$211,$B212)</f>
        <v>3</v>
      </c>
      <c r="Y217" s="185">
        <f>MATCH(Y$214,$C$211:$K$211,$B212)</f>
        <v>3</v>
      </c>
      <c r="Z217" s="185">
        <f>MATCH(Z$214,$C$211:$K$211,$B212)</f>
        <v>3</v>
      </c>
      <c r="AA217" s="185">
        <f>MATCH(AA$214,$C$211:$K$211,$B212)</f>
        <v>3</v>
      </c>
      <c r="AB217" s="185">
        <f>MATCH(AB$214,$C$211:$K$211,$B212)</f>
        <v>3</v>
      </c>
      <c r="AC217" s="185">
        <f>MATCH(AC$214,$C$211:$K$211,$B212)</f>
        <v>2</v>
      </c>
      <c r="AD217" s="185">
        <f>MATCH(AD$214,$C$211:$K$211,$B212)</f>
        <v>2</v>
      </c>
      <c r="AE217" s="185">
        <f>MATCH(AE$214,$C$211:$K$211,$B212)</f>
        <v>2</v>
      </c>
      <c r="AF217" s="185">
        <f>MATCH(AF$214,$C$211:$K$211,$B212)</f>
        <v>2</v>
      </c>
      <c r="AG217" s="185">
        <f>MATCH(AG$214,$C$211:$K$211,$B212)</f>
        <v>2</v>
      </c>
      <c r="AH217" s="185">
        <f>MATCH(AH$214,$C$211:$K$211,$B212)</f>
        <v>2</v>
      </c>
      <c r="AI217" s="185">
        <f>MATCH(AI$214,$C$211:$K$211,$B212)</f>
        <v>2</v>
      </c>
      <c r="AJ217" s="185">
        <f>MATCH(AJ$214,$C$211:$K$211,$B212)</f>
        <v>2</v>
      </c>
      <c r="AK217" s="185">
        <f>MATCH(AK$214,$C$211:$K$211,$B212)</f>
        <v>2</v>
      </c>
      <c r="AL217" s="185">
        <f>MATCH(AL$214,$C$211:$K$211,$B212)</f>
        <v>2</v>
      </c>
      <c r="AM217" s="185">
        <f>MATCH(AM$214,$C$211:$K$211,$B212)</f>
        <v>1</v>
      </c>
      <c r="AN217" s="185">
        <f>MATCH(AN$214,$C$211:$K$211,$B212)</f>
        <v>1</v>
      </c>
      <c r="AO217" s="185" t="e">
        <f>MATCH(AO$214,$C$211:$K$211,$B212)</f>
        <v>#N/A</v>
      </c>
      <c r="AP217" s="185" t="e">
        <f>MATCH(AP$214,$C$211:$K$211,$B212)</f>
        <v>#N/A</v>
      </c>
      <c r="BE217" s="185">
        <f>MATCH(BE$214,$C$211:$K$211,$B212)</f>
        <v>9</v>
      </c>
    </row>
    <row r="218" spans="1:58" s="117" customFormat="1">
      <c r="A218" s="116" t="s">
        <v>16</v>
      </c>
      <c r="J218" s="189">
        <f t="shared" ref="J218:AP218" si="597">IF(ISNA(J215),-1,IF(ISNA(J217),99,IF(ISNA(J216),J215,0)))</f>
        <v>0</v>
      </c>
      <c r="K218" s="189">
        <f t="shared" si="597"/>
        <v>1</v>
      </c>
      <c r="L218" s="189">
        <f t="shared" si="597"/>
        <v>1</v>
      </c>
      <c r="M218" s="189">
        <f t="shared" si="597"/>
        <v>0</v>
      </c>
      <c r="N218" s="189">
        <f t="shared" si="597"/>
        <v>2</v>
      </c>
      <c r="O218" s="189">
        <f t="shared" si="597"/>
        <v>0</v>
      </c>
      <c r="P218" s="189">
        <f t="shared" si="597"/>
        <v>3</v>
      </c>
      <c r="Q218" s="189">
        <f t="shared" si="597"/>
        <v>0</v>
      </c>
      <c r="R218" s="189">
        <f t="shared" si="597"/>
        <v>0</v>
      </c>
      <c r="S218" s="189">
        <f t="shared" si="597"/>
        <v>0</v>
      </c>
      <c r="T218" s="189">
        <f t="shared" si="597"/>
        <v>6</v>
      </c>
      <c r="U218" s="189">
        <f t="shared" si="597"/>
        <v>6</v>
      </c>
      <c r="V218" s="189">
        <f t="shared" si="597"/>
        <v>6</v>
      </c>
      <c r="W218" s="189">
        <f t="shared" si="597"/>
        <v>6</v>
      </c>
      <c r="X218" s="189">
        <f t="shared" si="597"/>
        <v>6</v>
      </c>
      <c r="Y218" s="189">
        <f t="shared" si="597"/>
        <v>6</v>
      </c>
      <c r="Z218" s="189">
        <f t="shared" si="597"/>
        <v>6</v>
      </c>
      <c r="AA218" s="189">
        <f t="shared" si="597"/>
        <v>6</v>
      </c>
      <c r="AB218" s="189">
        <f t="shared" si="597"/>
        <v>0</v>
      </c>
      <c r="AC218" s="189">
        <f t="shared" si="597"/>
        <v>7</v>
      </c>
      <c r="AD218" s="189">
        <f t="shared" si="597"/>
        <v>7</v>
      </c>
      <c r="AE218" s="189">
        <f t="shared" si="597"/>
        <v>7</v>
      </c>
      <c r="AF218" s="189">
        <f t="shared" si="597"/>
        <v>7</v>
      </c>
      <c r="AG218" s="189">
        <f t="shared" si="597"/>
        <v>7</v>
      </c>
      <c r="AH218" s="189">
        <f t="shared" si="597"/>
        <v>7</v>
      </c>
      <c r="AI218" s="189">
        <f t="shared" si="597"/>
        <v>7</v>
      </c>
      <c r="AJ218" s="189">
        <f t="shared" si="597"/>
        <v>7</v>
      </c>
      <c r="AK218" s="189">
        <f t="shared" si="597"/>
        <v>7</v>
      </c>
      <c r="AL218" s="189">
        <f t="shared" si="597"/>
        <v>0</v>
      </c>
      <c r="AM218" s="189">
        <f t="shared" si="597"/>
        <v>8</v>
      </c>
      <c r="AN218" s="189">
        <f t="shared" si="597"/>
        <v>0</v>
      </c>
      <c r="AO218" s="189">
        <f t="shared" si="597"/>
        <v>99</v>
      </c>
      <c r="AP218" s="189">
        <f t="shared" si="597"/>
        <v>99</v>
      </c>
      <c r="AQ218" s="189"/>
      <c r="AT218" s="189"/>
      <c r="AU218" s="189"/>
      <c r="BE218" s="189">
        <f>IF(ISNA(BE215),-1,IF(ISNA(BE217),99,IF(ISNA(BE216),BE215,0)))</f>
        <v>0</v>
      </c>
      <c r="BF218" s="189"/>
    </row>
    <row r="219" spans="1:58">
      <c r="B219" s="22" t="str">
        <f t="shared" ref="B219:B226" si="598">IF(A219="*","","COM_PROJ")</f>
        <v>COM_PROJ</v>
      </c>
      <c r="C219" s="23" t="str">
        <f t="shared" ref="C219:C226" si="599">IF($A219="*","","-")</f>
        <v>-</v>
      </c>
      <c r="D219" s="57" t="str">
        <f>B186</f>
        <v>TPPRCAR</v>
      </c>
      <c r="E219" s="23" t="str">
        <f t="shared" ref="E219:H226" si="600">IF($A219="*","","-")</f>
        <v>-</v>
      </c>
      <c r="F219" s="23" t="str">
        <f t="shared" si="600"/>
        <v>-</v>
      </c>
      <c r="G219" s="23" t="str">
        <f t="shared" si="600"/>
        <v>-</v>
      </c>
      <c r="H219" s="23" t="str">
        <f t="shared" si="600"/>
        <v>-</v>
      </c>
      <c r="I219" s="22">
        <f>IF(A219="*","",0)</f>
        <v>0</v>
      </c>
      <c r="J219" s="186">
        <f>IF(J$218=-1,K219,IF(J$218=99,BD219,IF(J$218=0,INDEX($E186:$M186,0,J$216),(INDEX($E186:$M186,0,J$218+1)-INDEX($E186:$M186,0,J$218))/(INDEX($E$185:$M$185,0,J$218+1)-INDEX($E$185:$M$185,0,J$218))+BD219)))</f>
        <v>81.484814157071753</v>
      </c>
      <c r="K219" s="186">
        <f>IF(K$218=-1,L219,IF(K$218=99,BE219,IF(K$218=0,INDEX($E186:$M186,0,K$216),(INDEX($E186:$M186,0,K$218+1)-INDEX($E186:$M186,0,K$218))/(INDEX($E$185:$M$185,0,K$218+1)-INDEX($E$185:$M$185,0,K$218))+BE219)))</f>
        <v>84.02361101254985</v>
      </c>
      <c r="L219" s="186">
        <f t="shared" ref="L219:AL219" si="601">IF(L$218=-1,M219,IF(L$218=99,K219,IF(L$218=0,INDEX($E186:$M186,0,L$216),(INDEX($E186:$M186,0,L$218+1)-INDEX($E186:$M186,0,L$218))/(INDEX($E$185:$M$185,0,L$218+1)-INDEX($E$185:$M$185,0,L$218))+K219)))</f>
        <v>86.562407868027947</v>
      </c>
      <c r="M219" s="186">
        <f t="shared" si="601"/>
        <v>89.101204723506044</v>
      </c>
      <c r="N219" s="186">
        <f t="shared" si="601"/>
        <v>91.313591691856431</v>
      </c>
      <c r="O219" s="186">
        <f t="shared" si="601"/>
        <v>93.525978660206817</v>
      </c>
      <c r="P219" s="186">
        <f t="shared" si="601"/>
        <v>95.68422553760422</v>
      </c>
      <c r="Q219" s="186">
        <f t="shared" si="601"/>
        <v>97.842472415001637</v>
      </c>
      <c r="R219" s="186">
        <f t="shared" si="601"/>
        <v>93.746622585597407</v>
      </c>
      <c r="S219" s="186">
        <f t="shared" si="601"/>
        <v>94.284516099271045</v>
      </c>
      <c r="T219" s="186">
        <f t="shared" si="601"/>
        <v>97.198802179917436</v>
      </c>
      <c r="U219" s="186">
        <f t="shared" si="601"/>
        <v>100.11308826056383</v>
      </c>
      <c r="V219" s="186">
        <f t="shared" si="601"/>
        <v>103.02737434121022</v>
      </c>
      <c r="W219" s="186">
        <f t="shared" si="601"/>
        <v>105.94166042185661</v>
      </c>
      <c r="X219" s="186">
        <f t="shared" si="601"/>
        <v>108.855946502503</v>
      </c>
      <c r="Y219" s="186">
        <f t="shared" si="601"/>
        <v>111.77023258314939</v>
      </c>
      <c r="Z219" s="186">
        <f t="shared" si="601"/>
        <v>114.68451866379579</v>
      </c>
      <c r="AA219" s="186">
        <f t="shared" si="601"/>
        <v>117.59880474444218</v>
      </c>
      <c r="AB219" s="186">
        <f t="shared" si="601"/>
        <v>120.51309082508857</v>
      </c>
      <c r="AC219" s="186">
        <f t="shared" si="601"/>
        <v>124.40451694203242</v>
      </c>
      <c r="AD219" s="186">
        <f t="shared" si="601"/>
        <v>128.29594305897626</v>
      </c>
      <c r="AE219" s="186">
        <f t="shared" si="601"/>
        <v>132.18736917592011</v>
      </c>
      <c r="AF219" s="186">
        <f t="shared" si="601"/>
        <v>136.07879529286396</v>
      </c>
      <c r="AG219" s="186">
        <f t="shared" si="601"/>
        <v>139.97022140980781</v>
      </c>
      <c r="AH219" s="186">
        <f t="shared" si="601"/>
        <v>143.86164752675165</v>
      </c>
      <c r="AI219" s="186">
        <f t="shared" si="601"/>
        <v>147.7530736436955</v>
      </c>
      <c r="AJ219" s="186">
        <f t="shared" si="601"/>
        <v>151.64449976063935</v>
      </c>
      <c r="AK219" s="186">
        <f t="shared" si="601"/>
        <v>155.5359258775832</v>
      </c>
      <c r="AL219" s="186">
        <f t="shared" si="601"/>
        <v>159.42735199452704</v>
      </c>
      <c r="AM219" s="301">
        <f>(AL219+AN219)/2</f>
        <v>180.45193661229189</v>
      </c>
      <c r="AN219" s="186">
        <f>IF(AN$218=-1,AO219,IF(AN$218=99,AM219,IF(AN$218=0,INDEX($E186:$M186,0,AN$216),(INDEX($E186:$M186,0,AN$218+1)-INDEX($E186:$M186,0,AN$218))/(INDEX($E$185:$M$185,0,AN$218+1)-INDEX($E$185:$M$185,0,AN$218))+AM219)))</f>
        <v>201.47652123005676</v>
      </c>
      <c r="AO219" s="186">
        <f>IF(AO$218=-1,AP219,IF(AO$218=99,AN219,IF(AO$218=0,INDEX($E186:$M186,0,AO$216),(INDEX($E186:$M186,0,AO$218+1)-INDEX($E186:$M186,0,AO$218))/(INDEX($E$185:$M$185,0,AO$218+1)-INDEX($E$185:$M$185,0,AO$218))+AN219)))</f>
        <v>201.47652123005676</v>
      </c>
      <c r="AP219" s="186">
        <f>IF(AP$218=-1,#REF!,IF(AP$218=99,AO219,IF(AP$218=0,INDEX($E186:$M186,0,AP$216),(INDEX($E186:$M186,0,AP$218+1)-INDEX($E186:$M186,0,AP$218))/(INDEX($E$185:$M$185,0,AP$218+1)-INDEX($E$185:$M$185,0,AP$218))+AO219)))</f>
        <v>201.47652123005676</v>
      </c>
      <c r="AQ219" s="186"/>
      <c r="AT219" s="186"/>
      <c r="AU219" s="186"/>
      <c r="BE219" s="186">
        <f>E186</f>
        <v>81.484814157071753</v>
      </c>
      <c r="BF219" s="109">
        <f t="shared" ref="BF219:BF226" si="602">(J219-BE219)/J219</f>
        <v>0</v>
      </c>
    </row>
    <row r="220" spans="1:58">
      <c r="B220" s="22" t="str">
        <f t="shared" si="598"/>
        <v>COM_PROJ</v>
      </c>
      <c r="C220" s="23" t="str">
        <f t="shared" si="599"/>
        <v>-</v>
      </c>
      <c r="D220" s="57" t="str">
        <f>B187</f>
        <v>TPPRSUV</v>
      </c>
      <c r="E220" s="23" t="str">
        <f t="shared" si="600"/>
        <v>-</v>
      </c>
      <c r="F220" s="23" t="str">
        <f t="shared" si="600"/>
        <v>-</v>
      </c>
      <c r="G220" s="23" t="str">
        <f t="shared" si="600"/>
        <v>-</v>
      </c>
      <c r="H220" s="23" t="str">
        <f t="shared" si="600"/>
        <v>-</v>
      </c>
      <c r="I220" s="22">
        <f>IF(A220="*","",0)</f>
        <v>0</v>
      </c>
      <c r="J220" s="186">
        <f>IF(J$218=-1,K220,IF(J$218=99,BD220,IF(J$218=0,INDEX($E187:$M187,0,J$216),(INDEX($E187:$M187,0,J$218+1)-INDEX($E187:$M187,0,J$218))/(INDEX($E$185:$M$185,0,J$218+1)-INDEX($E$185:$M$185,0,J$218))+BD220)))</f>
        <v>9.3562062912418789</v>
      </c>
      <c r="K220" s="186">
        <f>IF(K$218=-1,L220,IF(K$218=99,BE220,IF(K$218=0,INDEX($E187:$M187,0,K$216),(INDEX($E187:$M187,0,K$218+1)-INDEX($E187:$M187,0,K$218))/(INDEX($E$185:$M$185,0,K$218+1)-INDEX($E$185:$M$185,0,K$218))+BE220)))</f>
        <v>9.6477146828008458</v>
      </c>
      <c r="L220" s="186">
        <f t="shared" ref="L220:AL220" si="603">IF(L$218=-1,M220,IF(L$218=99,K220,IF(L$218=0,INDEX($E187:$M187,0,L$216),(INDEX($E187:$M187,0,L$218+1)-INDEX($E187:$M187,0,L$218))/(INDEX($E$185:$M$185,0,L$218+1)-INDEX($E$185:$M$185,0,L$218))+K220)))</f>
        <v>9.9392230743598127</v>
      </c>
      <c r="M220" s="186">
        <f t="shared" si="603"/>
        <v>10.230731465918778</v>
      </c>
      <c r="N220" s="186">
        <f t="shared" si="603"/>
        <v>10.460589810852998</v>
      </c>
      <c r="O220" s="186">
        <f t="shared" si="603"/>
        <v>10.69044815578722</v>
      </c>
      <c r="P220" s="186">
        <f t="shared" si="603"/>
        <v>10.937145668935228</v>
      </c>
      <c r="Q220" s="186">
        <f t="shared" si="603"/>
        <v>11.183843182083237</v>
      </c>
      <c r="R220" s="186">
        <f t="shared" si="603"/>
        <v>10.715668768060601</v>
      </c>
      <c r="S220" s="186">
        <f t="shared" si="603"/>
        <v>10.777152462790532</v>
      </c>
      <c r="T220" s="186">
        <f t="shared" si="603"/>
        <v>11.110268723134338</v>
      </c>
      <c r="U220" s="186">
        <f t="shared" si="603"/>
        <v>11.443384983478143</v>
      </c>
      <c r="V220" s="186">
        <f t="shared" si="603"/>
        <v>11.776501243821949</v>
      </c>
      <c r="W220" s="186">
        <f t="shared" si="603"/>
        <v>12.109617504165755</v>
      </c>
      <c r="X220" s="186">
        <f t="shared" si="603"/>
        <v>12.44273376450956</v>
      </c>
      <c r="Y220" s="186">
        <f t="shared" si="603"/>
        <v>12.775850024853366</v>
      </c>
      <c r="Z220" s="186">
        <f t="shared" si="603"/>
        <v>13.108966285197171</v>
      </c>
      <c r="AA220" s="186">
        <f t="shared" si="603"/>
        <v>13.442082545540977</v>
      </c>
      <c r="AB220" s="186">
        <f t="shared" si="603"/>
        <v>13.775198805884775</v>
      </c>
      <c r="AC220" s="186">
        <f t="shared" si="603"/>
        <v>14.220006652337869</v>
      </c>
      <c r="AD220" s="186">
        <f t="shared" si="603"/>
        <v>14.664814498790962</v>
      </c>
      <c r="AE220" s="186">
        <f t="shared" si="603"/>
        <v>15.109622345244055</v>
      </c>
      <c r="AF220" s="186">
        <f t="shared" si="603"/>
        <v>15.554430191697149</v>
      </c>
      <c r="AG220" s="186">
        <f t="shared" si="603"/>
        <v>15.999238038150242</v>
      </c>
      <c r="AH220" s="186">
        <f t="shared" si="603"/>
        <v>16.444045884603337</v>
      </c>
      <c r="AI220" s="186">
        <f t="shared" si="603"/>
        <v>16.888853731056432</v>
      </c>
      <c r="AJ220" s="186">
        <f t="shared" si="603"/>
        <v>17.333661577509528</v>
      </c>
      <c r="AK220" s="186">
        <f t="shared" si="603"/>
        <v>17.778469423962623</v>
      </c>
      <c r="AL220" s="186">
        <f t="shared" si="603"/>
        <v>18.223277270415711</v>
      </c>
      <c r="AM220" s="301">
        <f t="shared" ref="AM220:AM226" si="604">(AL220+AN220)/2</f>
        <v>20.626483685071577</v>
      </c>
      <c r="AN220" s="186">
        <f>IF(AN$218=-1,AO220,IF(AN$218=99,AM220,IF(AN$218=0,INDEX($E187:$M187,0,AN$216),(INDEX($E187:$M187,0,AN$218+1)-INDEX($E187:$M187,0,AN$218))/(INDEX($E$185:$M$185,0,AN$218+1)-INDEX($E$185:$M$185,0,AN$218))+AM220)))</f>
        <v>23.029690099727446</v>
      </c>
      <c r="AO220" s="186">
        <f>IF(AO$218=-1,AP220,IF(AO$218=99,AN220,IF(AO$218=0,INDEX($E187:$M187,0,AO$216),(INDEX($E187:$M187,0,AO$218+1)-INDEX($E187:$M187,0,AO$218))/(INDEX($E$185:$M$185,0,AO$218+1)-INDEX($E$185:$M$185,0,AO$218))+AN220)))</f>
        <v>23.029690099727446</v>
      </c>
      <c r="AP220" s="186">
        <f>IF(AP$218=-1,#REF!,IF(AP$218=99,AO220,IF(AP$218=0,INDEX($E187:$M187,0,AP$216),(INDEX($E187:$M187,0,AP$218+1)-INDEX($E187:$M187,0,AP$218))/(INDEX($E$185:$M$185,0,AP$218+1)-INDEX($E$185:$M$185,0,AP$218))+AO220)))</f>
        <v>23.029690099727446</v>
      </c>
      <c r="AQ220" s="186"/>
      <c r="AT220" s="186"/>
      <c r="AU220" s="186"/>
      <c r="BE220" s="186">
        <f>E187</f>
        <v>9.3562062912418789</v>
      </c>
      <c r="BF220" s="109">
        <f t="shared" si="602"/>
        <v>0</v>
      </c>
    </row>
    <row r="221" spans="1:58">
      <c r="B221" s="22" t="str">
        <f t="shared" si="598"/>
        <v>COM_PROJ</v>
      </c>
      <c r="C221" s="23" t="str">
        <f t="shared" si="599"/>
        <v>-</v>
      </c>
      <c r="D221" s="57" t="str">
        <f>B188</f>
        <v>TPPRMOT</v>
      </c>
      <c r="E221" s="23" t="str">
        <f t="shared" si="600"/>
        <v>-</v>
      </c>
      <c r="F221" s="23" t="str">
        <f t="shared" si="600"/>
        <v>-</v>
      </c>
      <c r="G221" s="23" t="str">
        <f t="shared" si="600"/>
        <v>-</v>
      </c>
      <c r="H221" s="23" t="str">
        <f t="shared" si="600"/>
        <v>-</v>
      </c>
      <c r="I221" s="22">
        <f>IF(A221="*","",0)</f>
        <v>0</v>
      </c>
      <c r="J221" s="186">
        <f>IF(J$218=-1,K221,IF(J$218=99,BD221,IF(J$218=0,INDEX($E188:$M188,0,J$216),(INDEX($E188:$M188,0,J$218+1)-INDEX($E188:$M188,0,J$218))/(INDEX($E$185:$M$185,0,J$218+1)-INDEX($E$185:$M$185,0,J$218))+BD221)))</f>
        <v>3.1893877916903843</v>
      </c>
      <c r="K221" s="186">
        <f>IF(K$218=-1,L221,IF(K$218=99,BE221,IF(K$218=0,INDEX($E188:$M188,0,K$216),(INDEX($E188:$M188,0,K$218+1)-INDEX($E188:$M188,0,K$218))/(INDEX($E$185:$M$185,0,K$218+1)-INDEX($E$185:$M$185,0,K$218))+BE221)))</f>
        <v>3.1544528903256581</v>
      </c>
      <c r="L221" s="186">
        <f t="shared" ref="L221:AL221" si="605">IF(L$218=-1,M221,IF(L$218=99,K221,IF(L$218=0,INDEX($E188:$M188,0,L$216),(INDEX($E188:$M188,0,L$218+1)-INDEX($E188:$M188,0,L$218))/(INDEX($E$185:$M$185,0,L$218+1)-INDEX($E$185:$M$185,0,L$218))+K221)))</f>
        <v>3.1195179889609319</v>
      </c>
      <c r="M221" s="186">
        <f t="shared" si="605"/>
        <v>3.0845830875962057</v>
      </c>
      <c r="N221" s="186">
        <f t="shared" si="605"/>
        <v>3.1538857729114129</v>
      </c>
      <c r="O221" s="186">
        <f t="shared" si="605"/>
        <v>3.2231884582266197</v>
      </c>
      <c r="P221" s="186">
        <f t="shared" si="605"/>
        <v>3.2975681816455502</v>
      </c>
      <c r="Q221" s="186">
        <f t="shared" si="605"/>
        <v>3.3719479050644807</v>
      </c>
      <c r="R221" s="186">
        <f t="shared" si="605"/>
        <v>3.2307925160925155</v>
      </c>
      <c r="S221" s="186">
        <f t="shared" si="605"/>
        <v>3.2493299555276773</v>
      </c>
      <c r="T221" s="186">
        <f t="shared" si="605"/>
        <v>3.3497650794758278</v>
      </c>
      <c r="U221" s="186">
        <f t="shared" si="605"/>
        <v>3.4502002034239783</v>
      </c>
      <c r="V221" s="186">
        <f t="shared" si="605"/>
        <v>3.5506353273721287</v>
      </c>
      <c r="W221" s="186">
        <f t="shared" si="605"/>
        <v>3.6510704513202792</v>
      </c>
      <c r="X221" s="186">
        <f t="shared" si="605"/>
        <v>3.7515055752684296</v>
      </c>
      <c r="Y221" s="186">
        <f t="shared" si="605"/>
        <v>3.8519406992165801</v>
      </c>
      <c r="Z221" s="186">
        <f t="shared" si="605"/>
        <v>3.9523758231647306</v>
      </c>
      <c r="AA221" s="186">
        <f t="shared" si="605"/>
        <v>4.0528109471128806</v>
      </c>
      <c r="AB221" s="186">
        <f t="shared" si="605"/>
        <v>4.1532460710610311</v>
      </c>
      <c r="AC221" s="186">
        <f t="shared" si="605"/>
        <v>4.2873563998258852</v>
      </c>
      <c r="AD221" s="186">
        <f t="shared" si="605"/>
        <v>4.4214667285907394</v>
      </c>
      <c r="AE221" s="186">
        <f t="shared" si="605"/>
        <v>4.5555770573555936</v>
      </c>
      <c r="AF221" s="186">
        <f t="shared" si="605"/>
        <v>4.6896873861204478</v>
      </c>
      <c r="AG221" s="186">
        <f t="shared" si="605"/>
        <v>4.823797714885302</v>
      </c>
      <c r="AH221" s="186">
        <f t="shared" si="605"/>
        <v>4.9579080436501561</v>
      </c>
      <c r="AI221" s="186">
        <f t="shared" si="605"/>
        <v>5.0920183724150103</v>
      </c>
      <c r="AJ221" s="186">
        <f t="shared" si="605"/>
        <v>5.2261287011798645</v>
      </c>
      <c r="AK221" s="186">
        <f t="shared" si="605"/>
        <v>5.3602390299447187</v>
      </c>
      <c r="AL221" s="186">
        <f t="shared" si="605"/>
        <v>5.4943493587095693</v>
      </c>
      <c r="AM221" s="301">
        <f t="shared" si="604"/>
        <v>6.2189202153823757</v>
      </c>
      <c r="AN221" s="186">
        <f>IF(AN$218=-1,AO221,IF(AN$218=99,AM221,IF(AN$218=0,INDEX($E188:$M188,0,AN$216),(INDEX($E188:$M188,0,AN$218+1)-INDEX($E188:$M188,0,AN$218))/(INDEX($E$185:$M$185,0,AN$218+1)-INDEX($E$185:$M$185,0,AN$218))+AM221)))</f>
        <v>6.9434910720551821</v>
      </c>
      <c r="AO221" s="186">
        <f>IF(AO$218=-1,AP221,IF(AO$218=99,AN221,IF(AO$218=0,INDEX($E188:$M188,0,AO$216),(INDEX($E188:$M188,0,AO$218+1)-INDEX($E188:$M188,0,AO$218))/(INDEX($E$185:$M$185,0,AO$218+1)-INDEX($E$185:$M$185,0,AO$218))+AN221)))</f>
        <v>6.9434910720551821</v>
      </c>
      <c r="AP221" s="186">
        <f>IF(AP$218=-1,#REF!,IF(AP$218=99,AO221,IF(AP$218=0,INDEX($E188:$M188,0,AP$216),(INDEX($E188:$M188,0,AP$218+1)-INDEX($E188:$M188,0,AP$218))/(INDEX($E$185:$M$185,0,AP$218+1)-INDEX($E$185:$M$185,0,AP$218))+AO221)))</f>
        <v>6.9434910720551821</v>
      </c>
      <c r="AQ221" s="186"/>
      <c r="AT221" s="186"/>
      <c r="AU221" s="186"/>
      <c r="BE221" s="186">
        <f>E188</f>
        <v>3.1893877916903843</v>
      </c>
      <c r="BF221" s="109">
        <f t="shared" si="602"/>
        <v>0</v>
      </c>
    </row>
    <row r="222" spans="1:58">
      <c r="B222" s="22" t="str">
        <f t="shared" si="598"/>
        <v>COM_PROJ</v>
      </c>
      <c r="C222" s="23" t="str">
        <f t="shared" si="599"/>
        <v>-</v>
      </c>
      <c r="D222" s="57" t="str">
        <f>B189</f>
        <v>TPPUBUS</v>
      </c>
      <c r="E222" s="23" t="str">
        <f t="shared" si="600"/>
        <v>-</v>
      </c>
      <c r="F222" s="23" t="str">
        <f t="shared" si="600"/>
        <v>-</v>
      </c>
      <c r="G222" s="23" t="str">
        <f t="shared" si="600"/>
        <v>-</v>
      </c>
      <c r="H222" s="23" t="str">
        <f t="shared" si="600"/>
        <v>-</v>
      </c>
      <c r="I222" s="22">
        <f>IF(A222="*","",0)</f>
        <v>0</v>
      </c>
      <c r="J222" s="186">
        <f>INDEX('[2]TS BYDem'!J$10:J$59,MATCH($D222,'[2]TS BYDem'!D$10:D$59,0))</f>
        <v>1.4990333520535337</v>
      </c>
      <c r="K222" s="186">
        <f>IF(K$218=-1,L222,IF(K$218=99,BE222,IF(K$218=0,INDEX($E189:$M189,0,K$216),(INDEX($E189:$M189,0,K$218+1)-INDEX($E189:$M189,0,K$218))/(INDEX($E$185:$M$185,0,K$218+1)-INDEX($E$185:$M$185,0,K$218))+BE222)))</f>
        <v>0.77885260922987343</v>
      </c>
      <c r="L222" s="186">
        <f t="shared" ref="L222:AL222" si="606">IF(L$218=-1,M222,IF(L$218=99,K222,IF(L$218=0,INDEX($E189:$M189,0,L$216),(INDEX($E189:$M189,0,L$218+1)-INDEX($E189:$M189,0,L$218))/(INDEX($E$185:$M$185,0,L$218+1)-INDEX($E$185:$M$185,0,L$218))+K222)))</f>
        <v>0.93971372874215786</v>
      </c>
      <c r="M222" s="186">
        <f t="shared" si="606"/>
        <v>1.1005748482544424</v>
      </c>
      <c r="N222" s="186">
        <f t="shared" si="606"/>
        <v>0.93083933163040378</v>
      </c>
      <c r="O222" s="186">
        <f t="shared" si="606"/>
        <v>0.76110381500636504</v>
      </c>
      <c r="P222" s="186">
        <f t="shared" si="606"/>
        <v>0.76999357397639234</v>
      </c>
      <c r="Q222" s="186">
        <f t="shared" si="606"/>
        <v>0.77888333294641976</v>
      </c>
      <c r="R222" s="186">
        <f t="shared" si="606"/>
        <v>0.80526146705118407</v>
      </c>
      <c r="S222" s="186">
        <f t="shared" si="606"/>
        <v>0.79864085897196158</v>
      </c>
      <c r="T222" s="186">
        <f t="shared" si="606"/>
        <v>0.80014418379960661</v>
      </c>
      <c r="U222" s="186">
        <f t="shared" si="606"/>
        <v>0.80164750862725165</v>
      </c>
      <c r="V222" s="186">
        <f t="shared" si="606"/>
        <v>0.80315083345489668</v>
      </c>
      <c r="W222" s="186">
        <f t="shared" si="606"/>
        <v>0.80465415828254172</v>
      </c>
      <c r="X222" s="186">
        <f t="shared" si="606"/>
        <v>0.80615748311018676</v>
      </c>
      <c r="Y222" s="186">
        <f t="shared" si="606"/>
        <v>0.80766080793783179</v>
      </c>
      <c r="Z222" s="186">
        <f t="shared" si="606"/>
        <v>0.80916413276547683</v>
      </c>
      <c r="AA222" s="186">
        <f t="shared" si="606"/>
        <v>0.81066745759312187</v>
      </c>
      <c r="AB222" s="186">
        <f t="shared" si="606"/>
        <v>0.81217078242076668</v>
      </c>
      <c r="AC222" s="186">
        <f t="shared" si="606"/>
        <v>0.80722998005492086</v>
      </c>
      <c r="AD222" s="186">
        <f t="shared" si="606"/>
        <v>0.80228917768907504</v>
      </c>
      <c r="AE222" s="186">
        <f t="shared" si="606"/>
        <v>0.79734837532322922</v>
      </c>
      <c r="AF222" s="186">
        <f t="shared" si="606"/>
        <v>0.7924075729573834</v>
      </c>
      <c r="AG222" s="186">
        <f t="shared" si="606"/>
        <v>0.78746677059153758</v>
      </c>
      <c r="AH222" s="186">
        <f t="shared" si="606"/>
        <v>0.78252596822569176</v>
      </c>
      <c r="AI222" s="186">
        <f t="shared" si="606"/>
        <v>0.77758516585984594</v>
      </c>
      <c r="AJ222" s="186">
        <f t="shared" si="606"/>
        <v>0.77264436349400012</v>
      </c>
      <c r="AK222" s="186">
        <f t="shared" si="606"/>
        <v>0.7677035611281543</v>
      </c>
      <c r="AL222" s="186">
        <f t="shared" si="606"/>
        <v>0.7627627587623087</v>
      </c>
      <c r="AM222" s="301">
        <f t="shared" si="604"/>
        <v>0.7249555990057408</v>
      </c>
      <c r="AN222" s="186">
        <f>IF(AN$218=-1,AO222,IF(AN$218=99,AM222,IF(AN$218=0,INDEX($E189:$M189,0,AN$216),(INDEX($E189:$M189,0,AN$218+1)-INDEX($E189:$M189,0,AN$218))/(INDEX($E$185:$M$185,0,AN$218+1)-INDEX($E$185:$M$185,0,AN$218))+AM222)))</f>
        <v>0.68714843924917279</v>
      </c>
      <c r="AO222" s="186">
        <f>IF(AO$218=-1,AP222,IF(AO$218=99,AN222,IF(AO$218=0,INDEX($E189:$M189,0,AO$216),(INDEX($E189:$M189,0,AO$218+1)-INDEX($E189:$M189,0,AO$218))/(INDEX($E$185:$M$185,0,AO$218+1)-INDEX($E$185:$M$185,0,AO$218))+AN222)))</f>
        <v>0.68714843924917279</v>
      </c>
      <c r="AP222" s="186">
        <f>IF(AP$218=-1,#REF!,IF(AP$218=99,AO222,IF(AP$218=0,INDEX($E189:$M189,0,AP$216),(INDEX($E189:$M189,0,AP$218+1)-INDEX($E189:$M189,0,AP$218))/(INDEX($E$185:$M$185,0,AP$218+1)-INDEX($E$185:$M$185,0,AP$218))+AO222)))</f>
        <v>0.68714843924917279</v>
      </c>
      <c r="AQ222" s="186"/>
      <c r="AT222" s="186"/>
      <c r="AU222" s="186"/>
      <c r="BE222" s="186">
        <f>E189</f>
        <v>0.61799148971758899</v>
      </c>
      <c r="BF222" s="109">
        <f t="shared" si="602"/>
        <v>0.5877400000000006</v>
      </c>
    </row>
    <row r="223" spans="1:58">
      <c r="B223" s="22" t="str">
        <f t="shared" si="598"/>
        <v>COM_PROJ</v>
      </c>
      <c r="C223" s="23" t="str">
        <f t="shared" si="599"/>
        <v>-</v>
      </c>
      <c r="D223" s="57" t="str">
        <f>B190</f>
        <v>TPPUMBT</v>
      </c>
      <c r="E223" s="23" t="str">
        <f t="shared" si="600"/>
        <v>-</v>
      </c>
      <c r="F223" s="23" t="str">
        <f t="shared" si="600"/>
        <v>-</v>
      </c>
      <c r="G223" s="23" t="str">
        <f t="shared" si="600"/>
        <v>-</v>
      </c>
      <c r="H223" s="23" t="str">
        <f t="shared" si="600"/>
        <v>-</v>
      </c>
      <c r="I223" s="22">
        <f>IF(A223="*","",0)</f>
        <v>0</v>
      </c>
      <c r="J223" s="186">
        <f>INDEX('[2]TS BYDem'!J$10:J$59,MATCH($D223,'[2]TS BYDem'!D$10:D$59,0))</f>
        <v>6.4978638621089795</v>
      </c>
      <c r="K223" s="186">
        <f>IF(K$218=-1,L223,IF(K$218=99,BE223,IF(K$218=0,INDEX($E190:$M190,0,K$216),(INDEX($E190:$M190,0,K$218+1)-INDEX($E190:$M190,0,K$218))/(INDEX($E$185:$M$185,0,K$218+1)-INDEX($E$185:$M$185,0,K$218))+BE223)))</f>
        <v>6.2129452564268437</v>
      </c>
      <c r="L223" s="186">
        <f t="shared" ref="L223:AL223" si="607">IF(L$218=-1,M223,IF(L$218=99,K223,IF(L$218=0,INDEX($E190:$M190,0,L$216),(INDEX($E190:$M190,0,L$218+1)-INDEX($E190:$M190,0,L$218))/(INDEX($E$185:$M$185,0,L$218+1)-INDEX($E$185:$M$185,0,L$218))+K223)))</f>
        <v>6.5128577066124906</v>
      </c>
      <c r="M223" s="186">
        <f t="shared" si="607"/>
        <v>6.8127701567981385</v>
      </c>
      <c r="N223" s="24">
        <f t="shared" si="607"/>
        <v>7.0016088184448213</v>
      </c>
      <c r="O223" s="186">
        <f t="shared" si="607"/>
        <v>7.1904474800915041</v>
      </c>
      <c r="P223" s="186">
        <f t="shared" si="607"/>
        <v>7.2744325340675111</v>
      </c>
      <c r="Q223" s="186">
        <f t="shared" si="607"/>
        <v>7.3584175880435181</v>
      </c>
      <c r="R223" s="186">
        <f t="shared" si="607"/>
        <v>7.6076222092311436</v>
      </c>
      <c r="S223" s="186">
        <f t="shared" si="607"/>
        <v>7.5450747173630077</v>
      </c>
      <c r="T223" s="186">
        <f t="shared" si="607"/>
        <v>7.5592772190527517</v>
      </c>
      <c r="U223" s="186">
        <f t="shared" si="607"/>
        <v>7.5734797207424958</v>
      </c>
      <c r="V223" s="186">
        <f t="shared" si="607"/>
        <v>7.5876822224322398</v>
      </c>
      <c r="W223" s="186">
        <f t="shared" si="607"/>
        <v>7.6018847241219838</v>
      </c>
      <c r="X223" s="186">
        <f t="shared" si="607"/>
        <v>7.6160872258117278</v>
      </c>
      <c r="Y223" s="186">
        <f t="shared" si="607"/>
        <v>7.6302897275014718</v>
      </c>
      <c r="Z223" s="186">
        <f t="shared" si="607"/>
        <v>7.6444922291912158</v>
      </c>
      <c r="AA223" s="186">
        <f t="shared" si="607"/>
        <v>7.6586947308809599</v>
      </c>
      <c r="AB223" s="186">
        <f t="shared" si="607"/>
        <v>7.6728972325707065</v>
      </c>
      <c r="AC223" s="186">
        <f t="shared" si="607"/>
        <v>7.6262195268219468</v>
      </c>
      <c r="AD223" s="186">
        <f t="shared" si="607"/>
        <v>7.5795418210731871</v>
      </c>
      <c r="AE223" s="186">
        <f t="shared" si="607"/>
        <v>7.5328641153244273</v>
      </c>
      <c r="AF223" s="186">
        <f t="shared" si="607"/>
        <v>7.4861864095756676</v>
      </c>
      <c r="AG223" s="186">
        <f t="shared" si="607"/>
        <v>7.4395087038269079</v>
      </c>
      <c r="AH223" s="186">
        <f t="shared" si="607"/>
        <v>7.3928309980781481</v>
      </c>
      <c r="AI223" s="186">
        <f t="shared" si="607"/>
        <v>7.3461532923293884</v>
      </c>
      <c r="AJ223" s="186">
        <f t="shared" si="607"/>
        <v>7.2994755865806287</v>
      </c>
      <c r="AK223" s="186">
        <f t="shared" si="607"/>
        <v>7.2527978808318689</v>
      </c>
      <c r="AL223" s="186">
        <f t="shared" si="607"/>
        <v>7.2061201750831048</v>
      </c>
      <c r="AM223" s="301">
        <f t="shared" si="604"/>
        <v>6.8489410475566483</v>
      </c>
      <c r="AN223" s="186">
        <f>IF(AN$218=-1,AO223,IF(AN$218=99,AM223,IF(AN$218=0,INDEX($E190:$M190,0,AN$216),(INDEX($E190:$M190,0,AN$218+1)-INDEX($E190:$M190,0,AN$218))/(INDEX($E$185:$M$185,0,AN$218+1)-INDEX($E$185:$M$185,0,AN$218))+AM223)))</f>
        <v>6.4917619200301919</v>
      </c>
      <c r="AO223" s="186">
        <f>IF(AO$218=-1,AP223,IF(AO$218=99,AN223,IF(AO$218=0,INDEX($E190:$M190,0,AO$216),(INDEX($E190:$M190,0,AO$218+1)-INDEX($E190:$M190,0,AO$218))/(INDEX($E$185:$M$185,0,AO$218+1)-INDEX($E$185:$M$185,0,AO$218))+AN223)))</f>
        <v>6.4917619200301919</v>
      </c>
      <c r="AP223" s="186">
        <f>IF(AP$218=-1,#REF!,IF(AP$218=99,AO223,IF(AP$218=0,INDEX($E190:$M190,0,AP$216),(INDEX($E190:$M190,0,AP$218+1)-INDEX($E190:$M190,0,AP$218))/(INDEX($E$185:$M$185,0,AP$218+1)-INDEX($E$185:$M$185,0,AP$218))+AO223)))</f>
        <v>6.4917619200301919</v>
      </c>
      <c r="AQ223" s="186"/>
      <c r="AT223" s="186"/>
      <c r="AU223" s="186"/>
      <c r="BE223" s="186">
        <f>E190</f>
        <v>5.9130328062411968</v>
      </c>
      <c r="BF223" s="109">
        <f t="shared" si="602"/>
        <v>9.0003587067760918E-2</v>
      </c>
    </row>
    <row r="224" spans="1:58">
      <c r="B224" s="22" t="str">
        <f t="shared" si="598"/>
        <v>COM_PROJ</v>
      </c>
      <c r="C224" s="23" t="str">
        <f t="shared" si="599"/>
        <v>-</v>
      </c>
      <c r="D224" s="57" t="str">
        <f>B191</f>
        <v>TPPUBRT</v>
      </c>
      <c r="E224" s="23" t="str">
        <f t="shared" si="600"/>
        <v>-</v>
      </c>
      <c r="F224" s="23" t="str">
        <f t="shared" si="600"/>
        <v>-</v>
      </c>
      <c r="G224" s="23" t="str">
        <f t="shared" si="600"/>
        <v>-</v>
      </c>
      <c r="H224" s="23" t="str">
        <f t="shared" si="600"/>
        <v>-</v>
      </c>
      <c r="I224" s="22">
        <f>IF(A224="*","",0)</f>
        <v>0</v>
      </c>
      <c r="J224" s="186">
        <f>INDEX('[2]TS BYDem'!J$10:J$59,MATCH($D224,'[2]TS BYDem'!D$10:D$59,0))</f>
        <v>0</v>
      </c>
      <c r="K224" s="186">
        <f>IF(K$218=-1,L224,IF(K$218=99,BE224,IF(K$218=0,INDEX($E191:$M191,0,K$216),(INDEX($E191:$M191,0,K$218+1)-INDEX($E191:$M191,0,K$218))/(INDEX($E$185:$M$185,0,K$218+1)-INDEX($E$185:$M$185,0,K$218))+BE224)))</f>
        <v>2.4481641737668241E-2</v>
      </c>
      <c r="L224" s="186">
        <f t="shared" ref="L224:AL224" si="608">IF(L$218=-1,M224,IF(L$218=99,K224,IF(L$218=0,INDEX($E191:$M191,0,L$216),(INDEX($E191:$M191,0,L$218+1)-INDEX($E191:$M191,0,L$218))/(INDEX($E$185:$M$185,0,L$218+1)-INDEX($E$185:$M$185,0,L$218))+K224)))</f>
        <v>2.7875678632381207E-2</v>
      </c>
      <c r="M224" s="186">
        <f t="shared" si="608"/>
        <v>3.1269715527094177E-2</v>
      </c>
      <c r="N224" s="186">
        <f t="shared" si="608"/>
        <v>4.7094773068544926E-2</v>
      </c>
      <c r="O224" s="186">
        <f t="shared" si="608"/>
        <v>6.2919830609995675E-2</v>
      </c>
      <c r="P224" s="186">
        <f t="shared" si="608"/>
        <v>8.2239758862255277E-2</v>
      </c>
      <c r="Q224" s="186">
        <f t="shared" si="608"/>
        <v>0.10155968711451488</v>
      </c>
      <c r="R224" s="186">
        <f t="shared" si="608"/>
        <v>0.10425069329756113</v>
      </c>
      <c r="S224" s="186">
        <f t="shared" si="608"/>
        <v>0.29374525410217339</v>
      </c>
      <c r="T224" s="186">
        <f t="shared" si="608"/>
        <v>0.32419393261645385</v>
      </c>
      <c r="U224" s="186">
        <f t="shared" si="608"/>
        <v>0.35464261113073431</v>
      </c>
      <c r="V224" s="186">
        <f t="shared" si="608"/>
        <v>0.38509128964501477</v>
      </c>
      <c r="W224" s="186">
        <f t="shared" si="608"/>
        <v>0.41553996815929523</v>
      </c>
      <c r="X224" s="186">
        <f t="shared" si="608"/>
        <v>0.44598864667357568</v>
      </c>
      <c r="Y224" s="186">
        <f t="shared" si="608"/>
        <v>0.47643732518785614</v>
      </c>
      <c r="Z224" s="186">
        <f t="shared" si="608"/>
        <v>0.50688600370213666</v>
      </c>
      <c r="AA224" s="186">
        <f t="shared" si="608"/>
        <v>0.53733468221641711</v>
      </c>
      <c r="AB224" s="186">
        <f t="shared" si="608"/>
        <v>0.56778336073069768</v>
      </c>
      <c r="AC224" s="186">
        <f t="shared" si="608"/>
        <v>0.61894654287448447</v>
      </c>
      <c r="AD224" s="186">
        <f t="shared" si="608"/>
        <v>0.67010972501827126</v>
      </c>
      <c r="AE224" s="186">
        <f t="shared" si="608"/>
        <v>0.72127290716205805</v>
      </c>
      <c r="AF224" s="186">
        <f t="shared" si="608"/>
        <v>0.77243608930584484</v>
      </c>
      <c r="AG224" s="186">
        <f t="shared" si="608"/>
        <v>0.82359927144963163</v>
      </c>
      <c r="AH224" s="186">
        <f t="shared" si="608"/>
        <v>0.87476245359341842</v>
      </c>
      <c r="AI224" s="186">
        <f t="shared" si="608"/>
        <v>0.92592563573720521</v>
      </c>
      <c r="AJ224" s="186">
        <f t="shared" si="608"/>
        <v>0.977088817880992</v>
      </c>
      <c r="AK224" s="186">
        <f t="shared" si="608"/>
        <v>1.0282520000247788</v>
      </c>
      <c r="AL224" s="186">
        <f t="shared" si="608"/>
        <v>1.0794151821685656</v>
      </c>
      <c r="AM224" s="301">
        <f t="shared" si="604"/>
        <v>1.3169948504595808</v>
      </c>
      <c r="AN224" s="186">
        <f>IF(AN$218=-1,AO224,IF(AN$218=99,AM224,IF(AN$218=0,INDEX($E191:$M191,0,AN$216),(INDEX($E191:$M191,0,AN$218+1)-INDEX($E191:$M191,0,AN$218))/(INDEX($E$185:$M$185,0,AN$218+1)-INDEX($E$185:$M$185,0,AN$218))+AM224)))</f>
        <v>1.5545745187505957</v>
      </c>
      <c r="AO224" s="186">
        <f>IF(AO$218=-1,AP224,IF(AO$218=99,AN224,IF(AO$218=0,INDEX($E191:$M191,0,AO$216),(INDEX($E191:$M191,0,AO$218+1)-INDEX($E191:$M191,0,AO$218))/(INDEX($E$185:$M$185,0,AO$218+1)-INDEX($E$185:$M$185,0,AO$218))+AN224)))</f>
        <v>1.5545745187505957</v>
      </c>
      <c r="AP224" s="186">
        <f>IF(AP$218=-1,#REF!,IF(AP$218=99,AO224,IF(AP$218=0,INDEX($E191:$M191,0,AP$216),(INDEX($E191:$M191,0,AP$218+1)-INDEX($E191:$M191,0,AP$218))/(INDEX($E$185:$M$185,0,AP$218+1)-INDEX($E$185:$M$185,0,AP$218))+AO224)))</f>
        <v>1.5545745187505957</v>
      </c>
      <c r="AQ224" s="186"/>
      <c r="AT224" s="186"/>
      <c r="AU224" s="186"/>
      <c r="BE224" s="186">
        <f>E191</f>
        <v>2.1087604842955274E-2</v>
      </c>
      <c r="BF224" s="109" t="e">
        <f t="shared" si="602"/>
        <v>#DIV/0!</v>
      </c>
    </row>
    <row r="225" spans="1:58">
      <c r="B225" s="22" t="str">
        <f t="shared" si="598"/>
        <v>COM_PROJ</v>
      </c>
      <c r="C225" s="23" t="str">
        <f t="shared" si="599"/>
        <v>-</v>
      </c>
      <c r="D225" s="57" t="str">
        <f>B192</f>
        <v>TPPUMER</v>
      </c>
      <c r="E225" s="23" t="str">
        <f t="shared" si="600"/>
        <v>-</v>
      </c>
      <c r="F225" s="23" t="str">
        <f t="shared" si="600"/>
        <v>-</v>
      </c>
      <c r="G225" s="23" t="str">
        <f t="shared" si="600"/>
        <v>-</v>
      </c>
      <c r="H225" s="23" t="str">
        <f t="shared" si="600"/>
        <v>-</v>
      </c>
      <c r="I225" s="22">
        <f>IF(A225="*","",0)</f>
        <v>0</v>
      </c>
      <c r="J225" s="186">
        <f>INDEX('[2]TS BYDem'!J$10:J$59,MATCH($D225,'[2]TS BYDem'!D$10:D$59,0))</f>
        <v>15.8</v>
      </c>
      <c r="K225" s="186">
        <f>IF(K$218=-1,L225,IF(K$218=99,BE225,IF(K$218=0,INDEX($E192:$M192,0,K$216),(INDEX($E192:$M192,0,K$218+1)-INDEX($E192:$M192,0,K$218))/(INDEX($E$185:$M$185,0,K$218+1)-INDEX($E$185:$M$185,0,K$218))+BE225)))</f>
        <v>13.600515897817941</v>
      </c>
      <c r="L225" s="186">
        <f t="shared" ref="L225:AL225" si="609">IF(L$218=-1,M225,IF(L$218=99,K225,IF(L$218=0,INDEX($E192:$M192,0,L$216),(INDEX($E192:$M192,0,L$218+1)-INDEX($E192:$M192,0,L$218))/(INDEX($E$185:$M$185,0,L$218+1)-INDEX($E$185:$M$185,0,L$218))+K225)))</f>
        <v>12.823088471306509</v>
      </c>
      <c r="M225" s="186">
        <f t="shared" si="609"/>
        <v>12.045661044795077</v>
      </c>
      <c r="N225" s="186">
        <f t="shared" si="609"/>
        <v>10.458317282147467</v>
      </c>
      <c r="O225" s="186">
        <f t="shared" si="609"/>
        <v>8.8709735194998576</v>
      </c>
      <c r="P225" s="186">
        <f t="shared" si="609"/>
        <v>8.9745872642518663</v>
      </c>
      <c r="Q225" s="186">
        <f t="shared" si="609"/>
        <v>9.0782010090038749</v>
      </c>
      <c r="R225" s="186">
        <f t="shared" si="609"/>
        <v>9.3856488558330522</v>
      </c>
      <c r="S225" s="186">
        <f t="shared" si="609"/>
        <v>9.3084829846394115</v>
      </c>
      <c r="T225" s="186">
        <f t="shared" si="609"/>
        <v>9.3260048449616253</v>
      </c>
      <c r="U225" s="186">
        <f t="shared" si="609"/>
        <v>9.3435267052838391</v>
      </c>
      <c r="V225" s="186">
        <f t="shared" si="609"/>
        <v>9.3610485656060529</v>
      </c>
      <c r="W225" s="186">
        <f t="shared" si="609"/>
        <v>9.3785704259282667</v>
      </c>
      <c r="X225" s="186">
        <f t="shared" si="609"/>
        <v>9.3960922862504805</v>
      </c>
      <c r="Y225" s="186">
        <f t="shared" si="609"/>
        <v>9.4136141465726944</v>
      </c>
      <c r="Z225" s="186">
        <f t="shared" si="609"/>
        <v>9.4311360068949082</v>
      </c>
      <c r="AA225" s="186">
        <f t="shared" si="609"/>
        <v>9.448657867217122</v>
      </c>
      <c r="AB225" s="186">
        <f t="shared" si="609"/>
        <v>9.4661797275393322</v>
      </c>
      <c r="AC225" s="186">
        <f t="shared" si="609"/>
        <v>9.408592672937413</v>
      </c>
      <c r="AD225" s="186">
        <f t="shared" si="609"/>
        <v>9.3510056183354937</v>
      </c>
      <c r="AE225" s="186">
        <f t="shared" si="609"/>
        <v>9.2934185637335744</v>
      </c>
      <c r="AF225" s="186">
        <f t="shared" si="609"/>
        <v>9.2358315091316552</v>
      </c>
      <c r="AG225" s="186">
        <f t="shared" si="609"/>
        <v>9.1782444545297359</v>
      </c>
      <c r="AH225" s="186">
        <f t="shared" si="609"/>
        <v>9.1206573999278167</v>
      </c>
      <c r="AI225" s="186">
        <f t="shared" si="609"/>
        <v>9.0630703453258974</v>
      </c>
      <c r="AJ225" s="186">
        <f t="shared" si="609"/>
        <v>9.0054832907239781</v>
      </c>
      <c r="AK225" s="186">
        <f t="shared" si="609"/>
        <v>8.9478962361220589</v>
      </c>
      <c r="AL225" s="186">
        <f t="shared" si="609"/>
        <v>8.8903091815201449</v>
      </c>
      <c r="AM225" s="301">
        <f t="shared" si="604"/>
        <v>8.4496514073304176</v>
      </c>
      <c r="AN225" s="186">
        <f>IF(AN$218=-1,AO225,IF(AN$218=99,AM225,IF(AN$218=0,INDEX($E192:$M192,0,AN$216),(INDEX($E192:$M192,0,AN$218+1)-INDEX($E192:$M192,0,AN$218))/(INDEX($E$185:$M$185,0,AN$218+1)-INDEX($E$185:$M$185,0,AN$218))+AM225)))</f>
        <v>8.0089936331406903</v>
      </c>
      <c r="AO225" s="186">
        <f>IF(AO$218=-1,AP225,IF(AO$218=99,AN225,IF(AO$218=0,INDEX($E192:$M192,0,AO$216),(INDEX($E192:$M192,0,AO$218+1)-INDEX($E192:$M192,0,AO$218))/(INDEX($E$185:$M$185,0,AO$218+1)-INDEX($E$185:$M$185,0,AO$218))+AN225)))</f>
        <v>8.0089936331406903</v>
      </c>
      <c r="AP225" s="186">
        <f>IF(AP$218=-1,#REF!,IF(AP$218=99,AO225,IF(AP$218=0,INDEX($E192:$M192,0,AP$216),(INDEX($E192:$M192,0,AP$218+1)-INDEX($E192:$M192,0,AP$218))/(INDEX($E$185:$M$185,0,AP$218+1)-INDEX($E$185:$M$185,0,AP$218))+AO225)))</f>
        <v>8.0089936331406903</v>
      </c>
      <c r="AQ225" s="186"/>
      <c r="AT225" s="186"/>
      <c r="AU225" s="186"/>
      <c r="BE225" s="186">
        <f>E192</f>
        <v>14.377943324329372</v>
      </c>
      <c r="BF225" s="109">
        <f t="shared" si="602"/>
        <v>9.0003587067761279E-2</v>
      </c>
    </row>
    <row r="226" spans="1:58">
      <c r="B226" s="22" t="str">
        <f t="shared" si="598"/>
        <v>COM_PROJ</v>
      </c>
      <c r="C226" s="23" t="str">
        <f t="shared" si="599"/>
        <v>-</v>
      </c>
      <c r="D226" s="57" t="str">
        <f>B193</f>
        <v>TPPUGAT</v>
      </c>
      <c r="E226" s="23" t="str">
        <f t="shared" si="600"/>
        <v>-</v>
      </c>
      <c r="F226" s="23" t="str">
        <f t="shared" si="600"/>
        <v>-</v>
      </c>
      <c r="G226" s="23" t="str">
        <f t="shared" si="600"/>
        <v>-</v>
      </c>
      <c r="H226" s="23" t="str">
        <f t="shared" si="600"/>
        <v>-</v>
      </c>
      <c r="I226" s="22">
        <f>IF(A226="*","",0)</f>
        <v>0</v>
      </c>
      <c r="J226" s="186">
        <f>INDEX('[2]TS BYDem'!J$10:J$59,MATCH($D226,'[2]TS BYDem'!D$10:D$59,0))</f>
        <v>0</v>
      </c>
      <c r="K226" s="186">
        <f>IF(K$218=-1,L226,IF(K$218=99,BE226,IF(K$218=0,INDEX($E193:$M193,0,K$216),(INDEX($E193:$M193,0,K$218+1)-INDEX($E193:$M193,0,K$218))/(INDEX($E$185:$M$185,0,K$218+1)-INDEX($E$185:$M$185,0,K$218))+BE226)))</f>
        <v>0.55248564192940541</v>
      </c>
      <c r="L226" s="186">
        <f t="shared" ref="L226:AL226" si="610">IF(L$218=-1,M226,IF(L$218=99,K226,IF(L$218=0,INDEX($E193:$M193,0,L$216),(INDEX($E193:$M193,0,L$218+1)-INDEX($E193:$M193,0,L$218))/(INDEX($E$185:$M$185,0,L$218+1)-INDEX($E$185:$M$185,0,L$218))+K226)))</f>
        <v>0.57044550348095591</v>
      </c>
      <c r="M226" s="186">
        <f t="shared" si="610"/>
        <v>0.58840536503250629</v>
      </c>
      <c r="N226" s="186">
        <f t="shared" si="610"/>
        <v>0.60651580293507878</v>
      </c>
      <c r="O226" s="186">
        <f t="shared" si="610"/>
        <v>0.62462624083765128</v>
      </c>
      <c r="P226" s="186">
        <f t="shared" si="610"/>
        <v>0.64844460531963566</v>
      </c>
      <c r="Q226" s="186">
        <f t="shared" si="610"/>
        <v>0.67226296980162004</v>
      </c>
      <c r="R226" s="186">
        <f t="shared" si="610"/>
        <v>0.64616666359533781</v>
      </c>
      <c r="S226" s="186">
        <f t="shared" si="610"/>
        <v>0.64672402075743496</v>
      </c>
      <c r="T226" s="186">
        <f t="shared" si="610"/>
        <v>0.66645524691108848</v>
      </c>
      <c r="U226" s="186">
        <f t="shared" si="610"/>
        <v>0.68618647306474201</v>
      </c>
      <c r="V226" s="186">
        <f t="shared" si="610"/>
        <v>0.70591769921839553</v>
      </c>
      <c r="W226" s="186">
        <f t="shared" si="610"/>
        <v>0.72564892537204906</v>
      </c>
      <c r="X226" s="186">
        <f t="shared" si="610"/>
        <v>0.74538015152570258</v>
      </c>
      <c r="Y226" s="186">
        <f t="shared" si="610"/>
        <v>0.76511137767935611</v>
      </c>
      <c r="Z226" s="186">
        <f t="shared" si="610"/>
        <v>0.78484260383300963</v>
      </c>
      <c r="AA226" s="186">
        <f t="shared" si="610"/>
        <v>0.80457382998666316</v>
      </c>
      <c r="AB226" s="186">
        <f t="shared" si="610"/>
        <v>0.82430505614031691</v>
      </c>
      <c r="AC226" s="186">
        <f t="shared" si="610"/>
        <v>0.84744076044105265</v>
      </c>
      <c r="AD226" s="186">
        <f t="shared" si="610"/>
        <v>0.8705764647417884</v>
      </c>
      <c r="AE226" s="186">
        <f t="shared" si="610"/>
        <v>0.89371216904252415</v>
      </c>
      <c r="AF226" s="186">
        <f t="shared" si="610"/>
        <v>0.9168478733432599</v>
      </c>
      <c r="AG226" s="186">
        <f t="shared" si="610"/>
        <v>0.93998357764399565</v>
      </c>
      <c r="AH226" s="186">
        <f t="shared" si="610"/>
        <v>0.9631192819447314</v>
      </c>
      <c r="AI226" s="186">
        <f t="shared" si="610"/>
        <v>0.98625498624546715</v>
      </c>
      <c r="AJ226" s="186">
        <f t="shared" si="610"/>
        <v>1.0093906905462029</v>
      </c>
      <c r="AK226" s="186">
        <f t="shared" si="610"/>
        <v>1.0325263948469388</v>
      </c>
      <c r="AL226" s="186">
        <f t="shared" si="610"/>
        <v>1.0556620991476746</v>
      </c>
      <c r="AM226" s="301">
        <f t="shared" si="604"/>
        <v>1.1651513669786351</v>
      </c>
      <c r="AN226" s="186">
        <f>IF(AN$218=-1,AO226,IF(AN$218=99,AM226,IF(AN$218=0,INDEX($E193:$M193,0,AN$216),(INDEX($E193:$M193,0,AN$218+1)-INDEX($E193:$M193,0,AN$218))/(INDEX($E$185:$M$185,0,AN$218+1)-INDEX($E$185:$M$185,0,AN$218))+AM226)))</f>
        <v>1.2746406348095956</v>
      </c>
      <c r="AO226" s="186">
        <f>IF(AO$218=-1,AP226,IF(AO$218=99,AN226,IF(AO$218=0,INDEX($E193:$M193,0,AO$216),(INDEX($E193:$M193,0,AO$218+1)-INDEX($E193:$M193,0,AO$218))/(INDEX($E$185:$M$185,0,AO$218+1)-INDEX($E$185:$M$185,0,AO$218))+AN226)))</f>
        <v>1.2746406348095956</v>
      </c>
      <c r="AP226" s="186">
        <f>IF(AP$218=-1,#REF!,IF(AP$218=99,AO226,IF(AP$218=0,INDEX($E193:$M193,0,AP$216),(INDEX($E193:$M193,0,AP$218+1)-INDEX($E193:$M193,0,AP$218))/(INDEX($E$185:$M$185,0,AP$218+1)-INDEX($E$185:$M$185,0,AP$218))+AO226)))</f>
        <v>1.2746406348095956</v>
      </c>
      <c r="AQ226" s="186"/>
      <c r="AT226" s="186"/>
      <c r="AU226" s="186"/>
      <c r="BE226" s="186">
        <f>E193</f>
        <v>0.53452578037785492</v>
      </c>
      <c r="BF226" s="109" t="e">
        <f t="shared" si="602"/>
        <v>#DIV/0!</v>
      </c>
    </row>
    <row r="227" spans="1:58">
      <c r="A227" s="185" t="s">
        <v>16</v>
      </c>
      <c r="L227" s="185"/>
      <c r="O227" s="40"/>
    </row>
    <row r="228" spans="1:58" s="191" customFormat="1">
      <c r="A228" s="114" t="s">
        <v>16</v>
      </c>
      <c r="B228" s="191" t="s">
        <v>392</v>
      </c>
      <c r="C228" s="191">
        <v>1</v>
      </c>
      <c r="D228" s="191">
        <v>2006</v>
      </c>
      <c r="E228" s="191">
        <f>F4</f>
        <v>2015</v>
      </c>
      <c r="F228" s="191">
        <v>2017</v>
      </c>
      <c r="G228" s="191">
        <v>2020</v>
      </c>
      <c r="H228" s="191">
        <v>2030</v>
      </c>
      <c r="I228" s="191">
        <v>2040</v>
      </c>
      <c r="J228" s="237">
        <v>2050</v>
      </c>
      <c r="K228" s="114">
        <f>MATCH(J$214,$C$210:$K$210,$C228)</f>
        <v>1</v>
      </c>
      <c r="L228" s="191">
        <f t="shared" ref="L228:AY228" si="611">MATCH(K$232,$D$228:$J$228,$C228)</f>
        <v>1</v>
      </c>
      <c r="M228" s="191">
        <f t="shared" si="611"/>
        <v>1</v>
      </c>
      <c r="N228" s="191">
        <f t="shared" si="611"/>
        <v>2</v>
      </c>
      <c r="O228" s="191">
        <f t="shared" si="611"/>
        <v>2</v>
      </c>
      <c r="P228" s="191">
        <f t="shared" si="611"/>
        <v>3</v>
      </c>
      <c r="Q228" s="191">
        <f t="shared" si="611"/>
        <v>3</v>
      </c>
      <c r="R228" s="191">
        <f t="shared" si="611"/>
        <v>3</v>
      </c>
      <c r="S228" s="191">
        <f t="shared" si="611"/>
        <v>4</v>
      </c>
      <c r="T228" s="191">
        <f t="shared" si="611"/>
        <v>4</v>
      </c>
      <c r="U228" s="191">
        <f t="shared" si="611"/>
        <v>4</v>
      </c>
      <c r="V228" s="191">
        <f t="shared" si="611"/>
        <v>4</v>
      </c>
      <c r="W228" s="191">
        <f t="shared" si="611"/>
        <v>4</v>
      </c>
      <c r="X228" s="191">
        <f t="shared" si="611"/>
        <v>4</v>
      </c>
      <c r="Y228" s="191">
        <f t="shared" si="611"/>
        <v>4</v>
      </c>
      <c r="Z228" s="191">
        <f t="shared" si="611"/>
        <v>4</v>
      </c>
      <c r="AA228" s="191">
        <f t="shared" si="611"/>
        <v>4</v>
      </c>
      <c r="AB228" s="191">
        <f t="shared" si="611"/>
        <v>4</v>
      </c>
      <c r="AC228" s="191">
        <f t="shared" si="611"/>
        <v>5</v>
      </c>
      <c r="AD228" s="191">
        <f t="shared" si="611"/>
        <v>5</v>
      </c>
      <c r="AE228" s="191">
        <f t="shared" si="611"/>
        <v>5</v>
      </c>
      <c r="AF228" s="191">
        <f t="shared" si="611"/>
        <v>5</v>
      </c>
      <c r="AG228" s="191">
        <f t="shared" si="611"/>
        <v>5</v>
      </c>
      <c r="AH228" s="191">
        <f t="shared" si="611"/>
        <v>5</v>
      </c>
      <c r="AI228" s="191">
        <f t="shared" si="611"/>
        <v>5</v>
      </c>
      <c r="AJ228" s="191">
        <f t="shared" si="611"/>
        <v>5</v>
      </c>
      <c r="AK228" s="191">
        <f t="shared" si="611"/>
        <v>5</v>
      </c>
      <c r="AL228" s="191">
        <f t="shared" si="611"/>
        <v>5</v>
      </c>
      <c r="AM228" s="191">
        <f t="shared" si="611"/>
        <v>6</v>
      </c>
      <c r="AN228" s="191">
        <f t="shared" si="611"/>
        <v>6</v>
      </c>
      <c r="AO228" s="191">
        <f t="shared" si="611"/>
        <v>6</v>
      </c>
      <c r="AP228" s="191">
        <f t="shared" si="611"/>
        <v>6</v>
      </c>
      <c r="AQ228" s="191">
        <f t="shared" si="611"/>
        <v>6</v>
      </c>
      <c r="AR228" s="191">
        <f t="shared" si="611"/>
        <v>6</v>
      </c>
      <c r="AS228" s="191">
        <f t="shared" si="611"/>
        <v>6</v>
      </c>
      <c r="AT228" s="191">
        <f t="shared" si="611"/>
        <v>6</v>
      </c>
      <c r="AU228" s="191">
        <f t="shared" si="611"/>
        <v>6</v>
      </c>
      <c r="AV228" s="191">
        <f t="shared" si="611"/>
        <v>6</v>
      </c>
      <c r="AW228" s="191">
        <f t="shared" si="611"/>
        <v>7</v>
      </c>
      <c r="AX228" s="191">
        <f t="shared" si="611"/>
        <v>7</v>
      </c>
      <c r="AY228" s="191">
        <f t="shared" si="611"/>
        <v>7</v>
      </c>
    </row>
    <row r="229" spans="1:58">
      <c r="A229" s="40" t="s">
        <v>16</v>
      </c>
      <c r="B229" s="185" t="s">
        <v>393</v>
      </c>
      <c r="C229" s="185">
        <v>0</v>
      </c>
      <c r="D229" s="185">
        <f t="shared" ref="D229:J229" si="612">INDEX($D228:$J228,0,COUNT($D228:$J228)-D230)</f>
        <v>2050</v>
      </c>
      <c r="E229" s="185">
        <f t="shared" si="612"/>
        <v>2040</v>
      </c>
      <c r="F229" s="185">
        <f t="shared" si="612"/>
        <v>2030</v>
      </c>
      <c r="G229" s="185">
        <f t="shared" si="612"/>
        <v>2020</v>
      </c>
      <c r="H229" s="185">
        <f t="shared" si="612"/>
        <v>2017</v>
      </c>
      <c r="I229" s="185">
        <f t="shared" si="612"/>
        <v>2015</v>
      </c>
      <c r="J229" s="121">
        <f t="shared" si="612"/>
        <v>2006</v>
      </c>
      <c r="K229" s="40">
        <f>MATCH(J$214,$C$210:$K$210,$C229)</f>
        <v>1</v>
      </c>
      <c r="L229" s="185" t="e">
        <f t="shared" ref="L229:AY229" si="613">MATCH(K$232,$D$228:$J$228,$C229)</f>
        <v>#N/A</v>
      </c>
      <c r="M229" s="185" t="e">
        <f t="shared" si="613"/>
        <v>#N/A</v>
      </c>
      <c r="N229" s="185">
        <f t="shared" si="613"/>
        <v>2</v>
      </c>
      <c r="O229" s="185" t="e">
        <f t="shared" si="613"/>
        <v>#N/A</v>
      </c>
      <c r="P229" s="185">
        <f t="shared" si="613"/>
        <v>3</v>
      </c>
      <c r="Q229" s="185" t="e">
        <f t="shared" si="613"/>
        <v>#N/A</v>
      </c>
      <c r="R229" s="185" t="e">
        <f t="shared" si="613"/>
        <v>#N/A</v>
      </c>
      <c r="S229" s="185">
        <f t="shared" si="613"/>
        <v>4</v>
      </c>
      <c r="T229" s="185" t="e">
        <f t="shared" si="613"/>
        <v>#N/A</v>
      </c>
      <c r="U229" s="185" t="e">
        <f t="shared" si="613"/>
        <v>#N/A</v>
      </c>
      <c r="V229" s="185" t="e">
        <f t="shared" si="613"/>
        <v>#N/A</v>
      </c>
      <c r="W229" s="185" t="e">
        <f t="shared" si="613"/>
        <v>#N/A</v>
      </c>
      <c r="X229" s="185" t="e">
        <f t="shared" si="613"/>
        <v>#N/A</v>
      </c>
      <c r="Y229" s="185" t="e">
        <f t="shared" si="613"/>
        <v>#N/A</v>
      </c>
      <c r="Z229" s="185" t="e">
        <f t="shared" si="613"/>
        <v>#N/A</v>
      </c>
      <c r="AA229" s="185" t="e">
        <f t="shared" si="613"/>
        <v>#N/A</v>
      </c>
      <c r="AB229" s="185" t="e">
        <f t="shared" si="613"/>
        <v>#N/A</v>
      </c>
      <c r="AC229" s="185">
        <f t="shared" si="613"/>
        <v>5</v>
      </c>
      <c r="AD229" s="185" t="e">
        <f t="shared" si="613"/>
        <v>#N/A</v>
      </c>
      <c r="AE229" s="185" t="e">
        <f t="shared" si="613"/>
        <v>#N/A</v>
      </c>
      <c r="AF229" s="185" t="e">
        <f t="shared" si="613"/>
        <v>#N/A</v>
      </c>
      <c r="AG229" s="185" t="e">
        <f t="shared" si="613"/>
        <v>#N/A</v>
      </c>
      <c r="AH229" s="185" t="e">
        <f t="shared" si="613"/>
        <v>#N/A</v>
      </c>
      <c r="AI229" s="185" t="e">
        <f t="shared" si="613"/>
        <v>#N/A</v>
      </c>
      <c r="AJ229" s="185" t="e">
        <f t="shared" si="613"/>
        <v>#N/A</v>
      </c>
      <c r="AK229" s="185" t="e">
        <f t="shared" si="613"/>
        <v>#N/A</v>
      </c>
      <c r="AL229" s="185" t="e">
        <f t="shared" si="613"/>
        <v>#N/A</v>
      </c>
      <c r="AM229" s="185">
        <f t="shared" si="613"/>
        <v>6</v>
      </c>
      <c r="AN229" s="185" t="e">
        <f t="shared" si="613"/>
        <v>#N/A</v>
      </c>
      <c r="AO229" s="185" t="e">
        <f t="shared" si="613"/>
        <v>#N/A</v>
      </c>
      <c r="AP229" s="185" t="e">
        <f t="shared" si="613"/>
        <v>#N/A</v>
      </c>
      <c r="AQ229" s="185" t="e">
        <f t="shared" si="613"/>
        <v>#N/A</v>
      </c>
      <c r="AR229" s="185" t="e">
        <f t="shared" si="613"/>
        <v>#N/A</v>
      </c>
      <c r="AS229" s="185" t="e">
        <f t="shared" si="613"/>
        <v>#N/A</v>
      </c>
      <c r="AT229" s="185" t="e">
        <f t="shared" si="613"/>
        <v>#N/A</v>
      </c>
      <c r="AU229" s="185" t="e">
        <f t="shared" si="613"/>
        <v>#N/A</v>
      </c>
      <c r="AV229" s="185" t="e">
        <f t="shared" si="613"/>
        <v>#N/A</v>
      </c>
      <c r="AW229" s="185">
        <f t="shared" si="613"/>
        <v>7</v>
      </c>
      <c r="AX229" s="185" t="e">
        <f t="shared" si="613"/>
        <v>#N/A</v>
      </c>
      <c r="AY229" s="185" t="e">
        <f t="shared" si="613"/>
        <v>#N/A</v>
      </c>
    </row>
    <row r="230" spans="1:58">
      <c r="A230" s="40" t="s">
        <v>16</v>
      </c>
      <c r="B230" s="185" t="s">
        <v>391</v>
      </c>
      <c r="C230" s="185">
        <v>-1</v>
      </c>
      <c r="D230" s="185">
        <v>0</v>
      </c>
      <c r="E230" s="185">
        <v>1</v>
      </c>
      <c r="F230" s="188">
        <v>2</v>
      </c>
      <c r="G230" s="185">
        <v>3</v>
      </c>
      <c r="H230" s="185">
        <v>4</v>
      </c>
      <c r="I230" s="185">
        <v>5</v>
      </c>
      <c r="J230" s="185">
        <v>6</v>
      </c>
      <c r="K230" s="185">
        <f>MATCH(J$214,$C$211:$K$211,$C230)</f>
        <v>9</v>
      </c>
      <c r="L230" s="185">
        <f t="shared" ref="L230:AY230" si="614">MATCH(K$232,$D$229:$J$229,$C230)</f>
        <v>6</v>
      </c>
      <c r="M230" s="185">
        <f t="shared" si="614"/>
        <v>6</v>
      </c>
      <c r="N230" s="185">
        <f t="shared" si="614"/>
        <v>6</v>
      </c>
      <c r="O230" s="185">
        <f t="shared" si="614"/>
        <v>5</v>
      </c>
      <c r="P230" s="185">
        <f t="shared" si="614"/>
        <v>5</v>
      </c>
      <c r="Q230" s="185">
        <f t="shared" si="614"/>
        <v>4</v>
      </c>
      <c r="R230" s="185">
        <f t="shared" si="614"/>
        <v>4</v>
      </c>
      <c r="S230" s="185">
        <f t="shared" si="614"/>
        <v>4</v>
      </c>
      <c r="T230" s="185">
        <f t="shared" si="614"/>
        <v>3</v>
      </c>
      <c r="U230" s="185">
        <f t="shared" si="614"/>
        <v>3</v>
      </c>
      <c r="V230" s="185">
        <f t="shared" si="614"/>
        <v>3</v>
      </c>
      <c r="W230" s="185">
        <f t="shared" si="614"/>
        <v>3</v>
      </c>
      <c r="X230" s="185">
        <f t="shared" si="614"/>
        <v>3</v>
      </c>
      <c r="Y230" s="185">
        <f t="shared" si="614"/>
        <v>3</v>
      </c>
      <c r="Z230" s="185">
        <f t="shared" si="614"/>
        <v>3</v>
      </c>
      <c r="AA230" s="185">
        <f t="shared" si="614"/>
        <v>3</v>
      </c>
      <c r="AB230" s="185">
        <f t="shared" si="614"/>
        <v>3</v>
      </c>
      <c r="AC230" s="185">
        <f t="shared" si="614"/>
        <v>3</v>
      </c>
      <c r="AD230" s="185">
        <f t="shared" si="614"/>
        <v>2</v>
      </c>
      <c r="AE230" s="185">
        <f t="shared" si="614"/>
        <v>2</v>
      </c>
      <c r="AF230" s="185">
        <f t="shared" si="614"/>
        <v>2</v>
      </c>
      <c r="AG230" s="185">
        <f t="shared" si="614"/>
        <v>2</v>
      </c>
      <c r="AH230" s="185">
        <f t="shared" si="614"/>
        <v>2</v>
      </c>
      <c r="AI230" s="185">
        <f t="shared" si="614"/>
        <v>2</v>
      </c>
      <c r="AJ230" s="185">
        <f t="shared" si="614"/>
        <v>2</v>
      </c>
      <c r="AK230" s="185">
        <f t="shared" si="614"/>
        <v>2</v>
      </c>
      <c r="AL230" s="185">
        <f t="shared" si="614"/>
        <v>2</v>
      </c>
      <c r="AM230" s="185">
        <f t="shared" si="614"/>
        <v>2</v>
      </c>
      <c r="AN230" s="185">
        <f t="shared" si="614"/>
        <v>1</v>
      </c>
      <c r="AO230" s="185">
        <f t="shared" si="614"/>
        <v>1</v>
      </c>
      <c r="AP230" s="185">
        <f t="shared" si="614"/>
        <v>1</v>
      </c>
      <c r="AQ230" s="185">
        <f t="shared" si="614"/>
        <v>1</v>
      </c>
      <c r="AR230" s="185">
        <f t="shared" si="614"/>
        <v>1</v>
      </c>
      <c r="AS230" s="185">
        <f t="shared" si="614"/>
        <v>1</v>
      </c>
      <c r="AT230" s="185">
        <f t="shared" si="614"/>
        <v>1</v>
      </c>
      <c r="AU230" s="185">
        <f t="shared" si="614"/>
        <v>1</v>
      </c>
      <c r="AV230" s="185">
        <f t="shared" si="614"/>
        <v>1</v>
      </c>
      <c r="AW230" s="185">
        <f t="shared" si="614"/>
        <v>1</v>
      </c>
      <c r="AX230" s="185" t="e">
        <f t="shared" si="614"/>
        <v>#N/A</v>
      </c>
      <c r="AY230" s="185" t="e">
        <f t="shared" si="614"/>
        <v>#N/A</v>
      </c>
    </row>
    <row r="231" spans="1:58" s="117" customFormat="1">
      <c r="A231" s="116" t="s">
        <v>16</v>
      </c>
      <c r="B231" s="117" t="s">
        <v>394</v>
      </c>
      <c r="K231" s="189">
        <f>IF(ISNA(K228),-1,IF(ISNA(K230),99,IF(ISNA(K229),K228,0)))</f>
        <v>0</v>
      </c>
      <c r="L231" s="189">
        <f>IF(ISNA(L228),-1,IF(ISNA(L230),99,IF(ISNA(L229),L228,0)))</f>
        <v>1</v>
      </c>
      <c r="M231" s="189">
        <f t="shared" ref="M231:AY231" si="615">IF(ISNA(M228),-1,IF(ISNA(M230),99,IF(ISNA(M229),M228,0)))</f>
        <v>1</v>
      </c>
      <c r="N231" s="189">
        <f t="shared" si="615"/>
        <v>0</v>
      </c>
      <c r="O231" s="189">
        <f t="shared" si="615"/>
        <v>2</v>
      </c>
      <c r="P231" s="189">
        <f t="shared" si="615"/>
        <v>0</v>
      </c>
      <c r="Q231" s="189">
        <f t="shared" si="615"/>
        <v>3</v>
      </c>
      <c r="R231" s="189">
        <f t="shared" si="615"/>
        <v>3</v>
      </c>
      <c r="S231" s="189">
        <f t="shared" si="615"/>
        <v>0</v>
      </c>
      <c r="T231" s="189">
        <f t="shared" si="615"/>
        <v>4</v>
      </c>
      <c r="U231" s="189">
        <f t="shared" si="615"/>
        <v>4</v>
      </c>
      <c r="V231" s="189">
        <f t="shared" si="615"/>
        <v>4</v>
      </c>
      <c r="W231" s="189">
        <f t="shared" si="615"/>
        <v>4</v>
      </c>
      <c r="X231" s="189">
        <f t="shared" si="615"/>
        <v>4</v>
      </c>
      <c r="Y231" s="189">
        <f t="shared" si="615"/>
        <v>4</v>
      </c>
      <c r="Z231" s="189">
        <f t="shared" si="615"/>
        <v>4</v>
      </c>
      <c r="AA231" s="189">
        <f t="shared" si="615"/>
        <v>4</v>
      </c>
      <c r="AB231" s="189">
        <f t="shared" si="615"/>
        <v>4</v>
      </c>
      <c r="AC231" s="189">
        <f t="shared" si="615"/>
        <v>0</v>
      </c>
      <c r="AD231" s="189">
        <f t="shared" si="615"/>
        <v>5</v>
      </c>
      <c r="AE231" s="189">
        <f t="shared" si="615"/>
        <v>5</v>
      </c>
      <c r="AF231" s="189">
        <f t="shared" si="615"/>
        <v>5</v>
      </c>
      <c r="AG231" s="189">
        <f t="shared" si="615"/>
        <v>5</v>
      </c>
      <c r="AH231" s="189">
        <f t="shared" si="615"/>
        <v>5</v>
      </c>
      <c r="AI231" s="189">
        <f t="shared" si="615"/>
        <v>5</v>
      </c>
      <c r="AJ231" s="189">
        <f t="shared" si="615"/>
        <v>5</v>
      </c>
      <c r="AK231" s="189">
        <f t="shared" si="615"/>
        <v>5</v>
      </c>
      <c r="AL231" s="189">
        <f t="shared" si="615"/>
        <v>5</v>
      </c>
      <c r="AM231" s="189">
        <f t="shared" si="615"/>
        <v>0</v>
      </c>
      <c r="AN231" s="189">
        <f t="shared" si="615"/>
        <v>6</v>
      </c>
      <c r="AO231" s="189">
        <f t="shared" si="615"/>
        <v>6</v>
      </c>
      <c r="AP231" s="189">
        <f t="shared" si="615"/>
        <v>6</v>
      </c>
      <c r="AQ231" s="189">
        <f t="shared" si="615"/>
        <v>6</v>
      </c>
      <c r="AR231" s="189">
        <f t="shared" si="615"/>
        <v>6</v>
      </c>
      <c r="AS231" s="189">
        <f t="shared" si="615"/>
        <v>6</v>
      </c>
      <c r="AT231" s="189">
        <f t="shared" si="615"/>
        <v>6</v>
      </c>
      <c r="AU231" s="189">
        <f t="shared" si="615"/>
        <v>6</v>
      </c>
      <c r="AV231" s="189">
        <f t="shared" si="615"/>
        <v>6</v>
      </c>
      <c r="AW231" s="189">
        <f t="shared" si="615"/>
        <v>0</v>
      </c>
      <c r="AX231" s="189">
        <f t="shared" si="615"/>
        <v>99</v>
      </c>
      <c r="AY231" s="189">
        <f t="shared" si="615"/>
        <v>99</v>
      </c>
      <c r="BA231" s="189"/>
      <c r="BB231" s="189"/>
      <c r="BC231" s="189"/>
      <c r="BD231" s="189"/>
      <c r="BE231" s="189"/>
      <c r="BF231" s="189"/>
    </row>
    <row r="232" spans="1:58">
      <c r="A232" s="185" t="s">
        <v>16</v>
      </c>
      <c r="C232" s="16"/>
      <c r="D232" s="16"/>
      <c r="E232" s="16"/>
      <c r="F232" s="16"/>
      <c r="G232" s="16"/>
      <c r="H232" s="16" t="s">
        <v>434</v>
      </c>
      <c r="I232" s="16"/>
      <c r="J232" s="18">
        <v>2012</v>
      </c>
      <c r="K232" s="18">
        <f>1+J232</f>
        <v>2013</v>
      </c>
      <c r="L232" s="18">
        <f t="shared" ref="L232:AV232" si="616">1+K232</f>
        <v>2014</v>
      </c>
      <c r="M232" s="18">
        <f>1+L232</f>
        <v>2015</v>
      </c>
      <c r="N232" s="18">
        <f t="shared" si="616"/>
        <v>2016</v>
      </c>
      <c r="O232" s="18">
        <f t="shared" si="616"/>
        <v>2017</v>
      </c>
      <c r="P232" s="18">
        <f t="shared" si="616"/>
        <v>2018</v>
      </c>
      <c r="Q232" s="18">
        <f t="shared" si="616"/>
        <v>2019</v>
      </c>
      <c r="R232" s="18">
        <f t="shared" si="616"/>
        <v>2020</v>
      </c>
      <c r="S232" s="18">
        <f t="shared" si="616"/>
        <v>2021</v>
      </c>
      <c r="T232" s="18">
        <f t="shared" si="616"/>
        <v>2022</v>
      </c>
      <c r="U232" s="18">
        <f t="shared" si="616"/>
        <v>2023</v>
      </c>
      <c r="V232" s="18">
        <f t="shared" si="616"/>
        <v>2024</v>
      </c>
      <c r="W232" s="18">
        <f t="shared" si="616"/>
        <v>2025</v>
      </c>
      <c r="X232" s="18">
        <f t="shared" si="616"/>
        <v>2026</v>
      </c>
      <c r="Y232" s="18">
        <f t="shared" si="616"/>
        <v>2027</v>
      </c>
      <c r="Z232" s="18">
        <f t="shared" si="616"/>
        <v>2028</v>
      </c>
      <c r="AA232" s="18">
        <f t="shared" si="616"/>
        <v>2029</v>
      </c>
      <c r="AB232" s="18">
        <f t="shared" si="616"/>
        <v>2030</v>
      </c>
      <c r="AC232" s="18">
        <f t="shared" si="616"/>
        <v>2031</v>
      </c>
      <c r="AD232" s="18">
        <f t="shared" si="616"/>
        <v>2032</v>
      </c>
      <c r="AE232" s="18">
        <f t="shared" si="616"/>
        <v>2033</v>
      </c>
      <c r="AF232" s="18">
        <f t="shared" si="616"/>
        <v>2034</v>
      </c>
      <c r="AG232" s="18">
        <f t="shared" si="616"/>
        <v>2035</v>
      </c>
      <c r="AH232" s="18">
        <f t="shared" si="616"/>
        <v>2036</v>
      </c>
      <c r="AI232" s="18">
        <f t="shared" si="616"/>
        <v>2037</v>
      </c>
      <c r="AJ232" s="18">
        <f t="shared" si="616"/>
        <v>2038</v>
      </c>
      <c r="AK232" s="18">
        <f t="shared" si="616"/>
        <v>2039</v>
      </c>
      <c r="AL232" s="18">
        <f t="shared" si="616"/>
        <v>2040</v>
      </c>
      <c r="AM232" s="18">
        <f t="shared" si="616"/>
        <v>2041</v>
      </c>
      <c r="AN232" s="18">
        <f t="shared" si="616"/>
        <v>2042</v>
      </c>
      <c r="AO232" s="18">
        <f t="shared" si="616"/>
        <v>2043</v>
      </c>
      <c r="AP232" s="18">
        <f t="shared" si="616"/>
        <v>2044</v>
      </c>
      <c r="AQ232" s="18">
        <f t="shared" si="616"/>
        <v>2045</v>
      </c>
      <c r="AR232" s="18">
        <f t="shared" si="616"/>
        <v>2046</v>
      </c>
      <c r="AS232" s="18">
        <f t="shared" si="616"/>
        <v>2047</v>
      </c>
      <c r="AT232" s="18">
        <f t="shared" si="616"/>
        <v>2048</v>
      </c>
      <c r="AU232" s="18">
        <f t="shared" si="616"/>
        <v>2049</v>
      </c>
      <c r="AV232" s="18">
        <f t="shared" si="616"/>
        <v>2050</v>
      </c>
      <c r="AW232" s="18">
        <v>2060</v>
      </c>
      <c r="AX232" s="18">
        <v>2070</v>
      </c>
      <c r="AZ232" s="18"/>
      <c r="BA232" s="18"/>
      <c r="BB232" s="18"/>
      <c r="BC232" s="18"/>
      <c r="BD232" s="18"/>
      <c r="BE232" s="18"/>
    </row>
    <row r="233" spans="1:58">
      <c r="A233" s="185" t="s">
        <v>16</v>
      </c>
      <c r="B233" s="22" t="str">
        <f t="shared" ref="B233:B238" si="617">IF(A233="*","","COM_PROJ")</f>
        <v/>
      </c>
      <c r="C233" s="23" t="str">
        <f t="shared" ref="C233:C238" si="618">IF($A233="*","","-")</f>
        <v/>
      </c>
      <c r="E233" s="23" t="str">
        <f t="shared" ref="E233:H238" si="619">IF($A233="*","","-")</f>
        <v/>
      </c>
      <c r="F233" s="23"/>
      <c r="G233" s="23" t="str">
        <f t="shared" si="619"/>
        <v/>
      </c>
      <c r="H233" s="23" t="str">
        <f t="shared" si="619"/>
        <v/>
      </c>
      <c r="I233" s="57" t="str">
        <f>B161</f>
        <v>TPPRCAR</v>
      </c>
      <c r="J233" s="186">
        <f>E161</f>
        <v>114.07873981990045</v>
      </c>
      <c r="K233" s="186">
        <f t="shared" ref="K233:AW233" si="620">IF(L$231=-1,L233,IF(L$231=99,J233,IF(L$231=0,INDEX($E161:$M161,0,L$229),(INDEX($E161:$M161,0,L$231+1)-INDEX($E161:$M161,0,L$231))/(INDEX($E$160:$M$160,0,L$231+1)-INDEX($E$160:$M$160,0,L$231))+J233)))</f>
        <v>117.63305541756978</v>
      </c>
      <c r="L233" s="186">
        <f t="shared" si="620"/>
        <v>121.18737101523911</v>
      </c>
      <c r="M233" s="186">
        <f t="shared" si="620"/>
        <v>124.74168661290844</v>
      </c>
      <c r="N233" s="186">
        <f t="shared" si="620"/>
        <v>127.83902836859897</v>
      </c>
      <c r="O233" s="186">
        <f t="shared" si="620"/>
        <v>130.93637012428951</v>
      </c>
      <c r="P233" s="186">
        <f t="shared" si="620"/>
        <v>133.95791575264587</v>
      </c>
      <c r="Q233" s="186">
        <f t="shared" si="620"/>
        <v>136.97946138100224</v>
      </c>
      <c r="R233" s="186">
        <f t="shared" si="620"/>
        <v>136.97946138100227</v>
      </c>
      <c r="S233" s="186">
        <f t="shared" si="620"/>
        <v>131.24527161983636</v>
      </c>
      <c r="T233" s="186">
        <f t="shared" si="620"/>
        <v>125.51108185867045</v>
      </c>
      <c r="U233" s="186">
        <f t="shared" si="620"/>
        <v>119.77689209750454</v>
      </c>
      <c r="V233" s="186">
        <f t="shared" si="620"/>
        <v>114.04270233633864</v>
      </c>
      <c r="W233" s="186">
        <f t="shared" si="620"/>
        <v>108.30851257517273</v>
      </c>
      <c r="X233" s="186">
        <f t="shared" si="620"/>
        <v>102.57432281400682</v>
      </c>
      <c r="Y233" s="186">
        <f t="shared" si="620"/>
        <v>96.840133052840912</v>
      </c>
      <c r="Z233" s="186">
        <f t="shared" si="620"/>
        <v>91.105943291675004</v>
      </c>
      <c r="AA233" s="186">
        <f t="shared" si="620"/>
        <v>85.371753530509096</v>
      </c>
      <c r="AB233" s="186">
        <f t="shared" si="620"/>
        <v>131.24527161983636</v>
      </c>
      <c r="AC233" s="186">
        <f t="shared" si="620"/>
        <v>131.99832253897941</v>
      </c>
      <c r="AD233" s="186">
        <f t="shared" si="620"/>
        <v>132.75137345812246</v>
      </c>
      <c r="AE233" s="186">
        <f t="shared" si="620"/>
        <v>133.50442437726551</v>
      </c>
      <c r="AF233" s="186">
        <f t="shared" si="620"/>
        <v>134.25747529640856</v>
      </c>
      <c r="AG233" s="186">
        <f t="shared" si="620"/>
        <v>135.01052621555161</v>
      </c>
      <c r="AH233" s="186">
        <f t="shared" si="620"/>
        <v>135.76357713469466</v>
      </c>
      <c r="AI233" s="186">
        <f t="shared" si="620"/>
        <v>136.51662805383771</v>
      </c>
      <c r="AJ233" s="186">
        <f t="shared" si="620"/>
        <v>137.26967897298076</v>
      </c>
      <c r="AK233" s="186">
        <f t="shared" si="620"/>
        <v>138.02272989212381</v>
      </c>
      <c r="AL233" s="186">
        <f t="shared" si="620"/>
        <v>131.99832253897941</v>
      </c>
      <c r="AM233" s="186">
        <f t="shared" si="620"/>
        <v>136.07832305188435</v>
      </c>
      <c r="AN233" s="186">
        <f t="shared" si="620"/>
        <v>140.1583235647893</v>
      </c>
      <c r="AO233" s="186">
        <f t="shared" si="620"/>
        <v>144.23832407769424</v>
      </c>
      <c r="AP233" s="186">
        <f t="shared" si="620"/>
        <v>148.31832459059919</v>
      </c>
      <c r="AQ233" s="186">
        <f t="shared" si="620"/>
        <v>152.39832510350413</v>
      </c>
      <c r="AR233" s="186">
        <f t="shared" si="620"/>
        <v>156.47832561640908</v>
      </c>
      <c r="AS233" s="186">
        <f t="shared" si="620"/>
        <v>160.55832612931403</v>
      </c>
      <c r="AT233" s="186">
        <f t="shared" si="620"/>
        <v>164.63832664221897</v>
      </c>
      <c r="AU233" s="186">
        <f t="shared" si="620"/>
        <v>168.71832715512392</v>
      </c>
      <c r="AV233" s="186">
        <f t="shared" si="620"/>
        <v>168.71832715512397</v>
      </c>
      <c r="AW233" s="186">
        <f t="shared" si="620"/>
        <v>168.71832715512397</v>
      </c>
      <c r="AX233" s="186">
        <f>IF(AY$231=-1,AZ233,IF(AY$231=99,AW233,IF(AY$231=0,INDEX($E161:$M161,0,AY$229),(INDEX($E161:$M161,0,AY$231+1)-INDEX($E161:$M161,0,AY$231))/(INDEX($E$160:$M$160,0,AY$231+1)-INDEX($E$160:$M$160,0,AY$231))+AW233)))</f>
        <v>168.71832715512397</v>
      </c>
      <c r="AZ233" s="186"/>
      <c r="BA233" s="186"/>
      <c r="BB233" s="186"/>
      <c r="BC233" s="186"/>
      <c r="BD233" s="186"/>
      <c r="BE233" s="186"/>
    </row>
    <row r="234" spans="1:58">
      <c r="A234" s="185" t="s">
        <v>16</v>
      </c>
      <c r="B234" s="22" t="str">
        <f t="shared" si="617"/>
        <v/>
      </c>
      <c r="C234" s="23" t="str">
        <f t="shared" si="618"/>
        <v/>
      </c>
      <c r="E234" s="23" t="str">
        <f t="shared" si="619"/>
        <v/>
      </c>
      <c r="F234" s="23"/>
      <c r="G234" s="23" t="str">
        <f t="shared" si="619"/>
        <v/>
      </c>
      <c r="H234" s="23" t="str">
        <f t="shared" si="619"/>
        <v/>
      </c>
      <c r="I234" s="57" t="str">
        <f>B162</f>
        <v>TPPRSUV</v>
      </c>
      <c r="J234" s="186">
        <f>E162</f>
        <v>13.098688807738631</v>
      </c>
      <c r="K234" s="186">
        <f t="shared" ref="K234:AW234" si="621">IF(L$231=-1,L234,IF(L$231=99,J234,IF(L$231=0,INDEX($E162:$M162,0,L$229),(INDEX($E162:$M162,0,L$231+1)-INDEX($E162:$M162,0,L$231))/(INDEX($E$160:$M$160,0,L$231+1)-INDEX($E$160:$M$160,0,L$231))+J234)))</f>
        <v>13.506800555921183</v>
      </c>
      <c r="L234" s="186">
        <f t="shared" si="621"/>
        <v>13.914912304103735</v>
      </c>
      <c r="M234" s="186">
        <f t="shared" si="621"/>
        <v>14.323024052286286</v>
      </c>
      <c r="N234" s="186">
        <f t="shared" si="621"/>
        <v>14.644825735194196</v>
      </c>
      <c r="O234" s="186">
        <f t="shared" si="621"/>
        <v>14.966627418102105</v>
      </c>
      <c r="P234" s="186">
        <f t="shared" si="621"/>
        <v>15.312003936509317</v>
      </c>
      <c r="Q234" s="186">
        <f t="shared" si="621"/>
        <v>15.657380454916529</v>
      </c>
      <c r="R234" s="186">
        <f t="shared" si="621"/>
        <v>15.657380454916529</v>
      </c>
      <c r="S234" s="186">
        <f t="shared" si="621"/>
        <v>15.001936275284839</v>
      </c>
      <c r="T234" s="186">
        <f t="shared" si="621"/>
        <v>14.346492095653149</v>
      </c>
      <c r="U234" s="186">
        <f t="shared" si="621"/>
        <v>13.691047916021459</v>
      </c>
      <c r="V234" s="186">
        <f t="shared" si="621"/>
        <v>13.035603736389769</v>
      </c>
      <c r="W234" s="186">
        <f t="shared" si="621"/>
        <v>12.380159556758079</v>
      </c>
      <c r="X234" s="186">
        <f t="shared" si="621"/>
        <v>11.724715377126389</v>
      </c>
      <c r="Y234" s="186">
        <f t="shared" si="621"/>
        <v>11.069271197494698</v>
      </c>
      <c r="Z234" s="186">
        <f t="shared" si="621"/>
        <v>10.413827017863008</v>
      </c>
      <c r="AA234" s="186">
        <f t="shared" si="621"/>
        <v>9.7583828382313182</v>
      </c>
      <c r="AB234" s="186">
        <f t="shared" si="621"/>
        <v>15.001936275284839</v>
      </c>
      <c r="AC234" s="186">
        <f t="shared" si="621"/>
        <v>15.088013447906739</v>
      </c>
      <c r="AD234" s="186">
        <f t="shared" si="621"/>
        <v>15.17409062052864</v>
      </c>
      <c r="AE234" s="186">
        <f t="shared" si="621"/>
        <v>15.26016779315054</v>
      </c>
      <c r="AF234" s="186">
        <f t="shared" si="621"/>
        <v>15.34624496577244</v>
      </c>
      <c r="AG234" s="186">
        <f t="shared" si="621"/>
        <v>15.432322138394341</v>
      </c>
      <c r="AH234" s="186">
        <f t="shared" si="621"/>
        <v>15.518399311016241</v>
      </c>
      <c r="AI234" s="186">
        <f t="shared" si="621"/>
        <v>15.604476483638141</v>
      </c>
      <c r="AJ234" s="186">
        <f t="shared" si="621"/>
        <v>15.690553656260041</v>
      </c>
      <c r="AK234" s="186">
        <f t="shared" si="621"/>
        <v>15.776630828881942</v>
      </c>
      <c r="AL234" s="186">
        <f t="shared" si="621"/>
        <v>15.088013447906739</v>
      </c>
      <c r="AM234" s="186">
        <f t="shared" si="621"/>
        <v>15.554376212388066</v>
      </c>
      <c r="AN234" s="186">
        <f t="shared" si="621"/>
        <v>16.020738976869392</v>
      </c>
      <c r="AO234" s="186">
        <f t="shared" si="621"/>
        <v>16.48710174135072</v>
      </c>
      <c r="AP234" s="186">
        <f t="shared" si="621"/>
        <v>16.953464505832049</v>
      </c>
      <c r="AQ234" s="186">
        <f t="shared" si="621"/>
        <v>17.419827270313377</v>
      </c>
      <c r="AR234" s="186">
        <f t="shared" si="621"/>
        <v>17.886190034794705</v>
      </c>
      <c r="AS234" s="186">
        <f t="shared" si="621"/>
        <v>18.352552799276033</v>
      </c>
      <c r="AT234" s="186">
        <f t="shared" si="621"/>
        <v>18.818915563757361</v>
      </c>
      <c r="AU234" s="186">
        <f t="shared" si="621"/>
        <v>19.285278328238689</v>
      </c>
      <c r="AV234" s="186">
        <f t="shared" si="621"/>
        <v>19.285278328238682</v>
      </c>
      <c r="AW234" s="186">
        <f t="shared" si="621"/>
        <v>19.285278328238682</v>
      </c>
      <c r="AX234" s="186">
        <f>IF(AY$231=-1,AZ234,IF(AY$231=99,AW234,IF(AY$231=0,INDEX($E162:$M162,0,AY$229),(INDEX($E162:$M162,0,AY$231+1)-INDEX($E162:$M162,0,AY$231))/(INDEX($E$160:$M$160,0,AY$231+1)-INDEX($E$160:$M$160,0,AY$231))+AW234)))</f>
        <v>19.285278328238682</v>
      </c>
      <c r="AZ234" s="186"/>
      <c r="BA234" s="186"/>
      <c r="BB234" s="186"/>
      <c r="BC234" s="186"/>
      <c r="BD234" s="186"/>
      <c r="BE234" s="186"/>
    </row>
    <row r="235" spans="1:58">
      <c r="A235" s="185" t="s">
        <v>16</v>
      </c>
      <c r="B235" s="22" t="str">
        <f t="shared" si="617"/>
        <v/>
      </c>
      <c r="C235" s="23" t="str">
        <f t="shared" si="618"/>
        <v/>
      </c>
      <c r="E235" s="23" t="str">
        <f t="shared" si="619"/>
        <v/>
      </c>
      <c r="F235" s="23"/>
      <c r="G235" s="23" t="str">
        <f t="shared" si="619"/>
        <v/>
      </c>
      <c r="H235" s="23" t="str">
        <f t="shared" si="619"/>
        <v/>
      </c>
      <c r="I235" s="57" t="str">
        <f>B163</f>
        <v>TPPRMOT</v>
      </c>
      <c r="J235" s="186">
        <f>E163</f>
        <v>4.4651429083665386</v>
      </c>
      <c r="K235" s="186">
        <f t="shared" ref="K235:AW235" si="622">IF(L$231=-1,L235,IF(L$231=99,J235,IF(L$231=0,INDEX($E163:$M163,0,L$229),(INDEX($E163:$M163,0,L$231+1)-INDEX($E163:$M163,0,L$231))/(INDEX($E$160:$M$160,0,L$231+1)-INDEX($E$160:$M$160,0,L$231))+J235)))</f>
        <v>4.416234046455922</v>
      </c>
      <c r="L235" s="186">
        <f t="shared" si="622"/>
        <v>4.3673251845453054</v>
      </c>
      <c r="M235" s="186">
        <f t="shared" si="622"/>
        <v>4.3184163226346879</v>
      </c>
      <c r="N235" s="186">
        <f t="shared" si="622"/>
        <v>4.4154400820759765</v>
      </c>
      <c r="O235" s="186">
        <f t="shared" si="622"/>
        <v>4.512463841517266</v>
      </c>
      <c r="P235" s="186">
        <f t="shared" si="622"/>
        <v>4.6165954543037691</v>
      </c>
      <c r="Q235" s="186">
        <f t="shared" si="622"/>
        <v>4.7207270670902721</v>
      </c>
      <c r="R235" s="186">
        <f t="shared" si="622"/>
        <v>4.7207270670902721</v>
      </c>
      <c r="S235" s="186">
        <f t="shared" si="622"/>
        <v>4.5231095225295217</v>
      </c>
      <c r="T235" s="186">
        <f t="shared" si="622"/>
        <v>4.3254919779687713</v>
      </c>
      <c r="U235" s="186">
        <f t="shared" si="622"/>
        <v>4.1278744334080208</v>
      </c>
      <c r="V235" s="186">
        <f t="shared" si="622"/>
        <v>3.9302568888472704</v>
      </c>
      <c r="W235" s="186">
        <f t="shared" si="622"/>
        <v>3.73263934428652</v>
      </c>
      <c r="X235" s="186">
        <f t="shared" si="622"/>
        <v>3.5350217997257696</v>
      </c>
      <c r="Y235" s="186">
        <f t="shared" si="622"/>
        <v>3.3374042551650192</v>
      </c>
      <c r="Z235" s="186">
        <f t="shared" si="622"/>
        <v>3.1397867106042687</v>
      </c>
      <c r="AA235" s="186">
        <f t="shared" si="622"/>
        <v>2.9421691660435183</v>
      </c>
      <c r="AB235" s="186">
        <f t="shared" si="622"/>
        <v>4.5231095225295217</v>
      </c>
      <c r="AC235" s="186">
        <f t="shared" si="622"/>
        <v>4.5490619377387471</v>
      </c>
      <c r="AD235" s="186">
        <f t="shared" si="622"/>
        <v>4.5750143529479725</v>
      </c>
      <c r="AE235" s="186">
        <f t="shared" si="622"/>
        <v>4.600966768157198</v>
      </c>
      <c r="AF235" s="186">
        <f t="shared" si="622"/>
        <v>4.6269191833664234</v>
      </c>
      <c r="AG235" s="186">
        <f t="shared" si="622"/>
        <v>4.6528715985756488</v>
      </c>
      <c r="AH235" s="186">
        <f t="shared" si="622"/>
        <v>4.6788240137848742</v>
      </c>
      <c r="AI235" s="186">
        <f t="shared" si="622"/>
        <v>4.7047764289940996</v>
      </c>
      <c r="AJ235" s="186">
        <f t="shared" si="622"/>
        <v>4.7307288442033251</v>
      </c>
      <c r="AK235" s="186">
        <f t="shared" si="622"/>
        <v>4.7566812594125505</v>
      </c>
      <c r="AL235" s="186">
        <f t="shared" si="622"/>
        <v>4.5490619377387471</v>
      </c>
      <c r="AM235" s="186">
        <f t="shared" si="622"/>
        <v>4.6896711112661578</v>
      </c>
      <c r="AN235" s="186">
        <f t="shared" si="622"/>
        <v>4.8302802847935684</v>
      </c>
      <c r="AO235" s="186">
        <f t="shared" si="622"/>
        <v>4.9708894583209791</v>
      </c>
      <c r="AP235" s="186">
        <f t="shared" si="622"/>
        <v>5.1114986318483897</v>
      </c>
      <c r="AQ235" s="186">
        <f t="shared" si="622"/>
        <v>5.2521078053758004</v>
      </c>
      <c r="AR235" s="186">
        <f t="shared" si="622"/>
        <v>5.392716978903211</v>
      </c>
      <c r="AS235" s="186">
        <f t="shared" si="622"/>
        <v>5.5333261524306216</v>
      </c>
      <c r="AT235" s="186">
        <f t="shared" si="622"/>
        <v>5.6739353259580323</v>
      </c>
      <c r="AU235" s="186">
        <f t="shared" si="622"/>
        <v>5.8145444994854429</v>
      </c>
      <c r="AV235" s="186">
        <f t="shared" si="622"/>
        <v>5.8145444994854429</v>
      </c>
      <c r="AW235" s="186">
        <f t="shared" si="622"/>
        <v>5.8145444994854429</v>
      </c>
      <c r="AX235" s="186">
        <f>IF(AY$231=-1,AZ235,IF(AY$231=99,AW235,IF(AY$231=0,INDEX($E163:$M163,0,AY$229),(INDEX($E163:$M163,0,AY$231+1)-INDEX($E163:$M163,0,AY$231))/(INDEX($E$160:$M$160,0,AY$231+1)-INDEX($E$160:$M$160,0,AY$231))+AW235)))</f>
        <v>5.8145444994854429</v>
      </c>
      <c r="AZ235" s="186"/>
      <c r="BA235" s="186"/>
      <c r="BB235" s="186"/>
      <c r="BC235" s="186"/>
      <c r="BD235" s="186"/>
      <c r="BE235" s="186"/>
    </row>
    <row r="236" spans="1:58">
      <c r="A236" s="185" t="s">
        <v>16</v>
      </c>
      <c r="B236" s="22" t="str">
        <f t="shared" si="617"/>
        <v/>
      </c>
      <c r="C236" s="23" t="str">
        <f t="shared" si="618"/>
        <v/>
      </c>
      <c r="E236" s="23" t="str">
        <f t="shared" si="619"/>
        <v/>
      </c>
      <c r="F236" s="23"/>
      <c r="G236" s="23" t="str">
        <f t="shared" si="619"/>
        <v/>
      </c>
      <c r="H236" s="23" t="str">
        <f t="shared" si="619"/>
        <v/>
      </c>
      <c r="I236" s="57" t="str">
        <f>B164</f>
        <v>TPPUBUS</v>
      </c>
      <c r="J236" s="186">
        <f>E164</f>
        <v>15.449787242939724</v>
      </c>
      <c r="K236" s="186">
        <f t="shared" ref="K236:AW236" si="623">IF(L$231=-1,L236,IF(L$231=99,J236,IF(L$231=0,INDEX($E164:$M164,0,L$229),(INDEX($E164:$M164,0,L$231+1)-INDEX($E164:$M164,0,L$231))/(INDEX($E$160:$M$160,0,L$231+1)-INDEX($E$160:$M$160,0,L$231))+J236)))</f>
        <v>19.471315230746836</v>
      </c>
      <c r="L236" s="186">
        <f t="shared" si="623"/>
        <v>23.492843218553947</v>
      </c>
      <c r="M236" s="186">
        <f t="shared" si="623"/>
        <v>27.514371206361059</v>
      </c>
      <c r="N236" s="186">
        <f t="shared" si="623"/>
        <v>23.270983290760093</v>
      </c>
      <c r="O236" s="186">
        <f t="shared" si="623"/>
        <v>19.027595375159127</v>
      </c>
      <c r="P236" s="186">
        <f t="shared" si="623"/>
        <v>19.249839349409811</v>
      </c>
      <c r="Q236" s="186">
        <f t="shared" si="623"/>
        <v>19.472083323660495</v>
      </c>
      <c r="R236" s="186">
        <f t="shared" si="623"/>
        <v>19.472083323660495</v>
      </c>
      <c r="S236" s="186">
        <f t="shared" si="623"/>
        <v>20.131536676279602</v>
      </c>
      <c r="T236" s="186">
        <f t="shared" si="623"/>
        <v>20.790990028898708</v>
      </c>
      <c r="U236" s="186">
        <f t="shared" si="623"/>
        <v>21.450443381517815</v>
      </c>
      <c r="V236" s="186">
        <f t="shared" si="623"/>
        <v>22.109896734136921</v>
      </c>
      <c r="W236" s="186">
        <f t="shared" si="623"/>
        <v>22.769350086756027</v>
      </c>
      <c r="X236" s="186">
        <f t="shared" si="623"/>
        <v>23.428803439375134</v>
      </c>
      <c r="Y236" s="186">
        <f t="shared" si="623"/>
        <v>24.08825679199424</v>
      </c>
      <c r="Z236" s="186">
        <f t="shared" si="623"/>
        <v>24.747710144613347</v>
      </c>
      <c r="AA236" s="186">
        <f t="shared" si="623"/>
        <v>25.407163497232453</v>
      </c>
      <c r="AB236" s="186">
        <f t="shared" si="623"/>
        <v>20.131536676279602</v>
      </c>
      <c r="AC236" s="186">
        <f t="shared" si="623"/>
        <v>19.966021474299041</v>
      </c>
      <c r="AD236" s="186">
        <f t="shared" si="623"/>
        <v>19.800506272318479</v>
      </c>
      <c r="AE236" s="186">
        <f t="shared" si="623"/>
        <v>19.634991070337918</v>
      </c>
      <c r="AF236" s="186">
        <f t="shared" si="623"/>
        <v>19.469475868357357</v>
      </c>
      <c r="AG236" s="186">
        <f t="shared" si="623"/>
        <v>19.303960666376796</v>
      </c>
      <c r="AH236" s="186">
        <f t="shared" si="623"/>
        <v>19.138445464396234</v>
      </c>
      <c r="AI236" s="186">
        <f t="shared" si="623"/>
        <v>18.972930262415673</v>
      </c>
      <c r="AJ236" s="186">
        <f t="shared" si="623"/>
        <v>18.807415060435112</v>
      </c>
      <c r="AK236" s="186">
        <f t="shared" si="623"/>
        <v>18.641899858454551</v>
      </c>
      <c r="AL236" s="186">
        <f t="shared" si="623"/>
        <v>19.966021474299041</v>
      </c>
      <c r="AM236" s="186">
        <f t="shared" si="623"/>
        <v>20.003604594990165</v>
      </c>
      <c r="AN236" s="186">
        <f t="shared" si="623"/>
        <v>20.041187715681289</v>
      </c>
      <c r="AO236" s="186">
        <f t="shared" si="623"/>
        <v>20.078770836372414</v>
      </c>
      <c r="AP236" s="186">
        <f t="shared" si="623"/>
        <v>20.116353957063538</v>
      </c>
      <c r="AQ236" s="186">
        <f t="shared" si="623"/>
        <v>20.153937077754662</v>
      </c>
      <c r="AR236" s="186">
        <f t="shared" si="623"/>
        <v>20.191520198445787</v>
      </c>
      <c r="AS236" s="186">
        <f t="shared" si="623"/>
        <v>20.229103319136911</v>
      </c>
      <c r="AT236" s="186">
        <f t="shared" si="623"/>
        <v>20.266686439828035</v>
      </c>
      <c r="AU236" s="186">
        <f t="shared" si="623"/>
        <v>20.30426956051916</v>
      </c>
      <c r="AV236" s="186">
        <f t="shared" si="623"/>
        <v>20.304269560519167</v>
      </c>
      <c r="AW236" s="186">
        <f t="shared" si="623"/>
        <v>20.304269560519167</v>
      </c>
      <c r="AX236" s="186">
        <f>IF(AY$231=-1,AZ236,IF(AY$231=99,AW236,IF(AY$231=0,INDEX($E164:$M164,0,AY$229),(INDEX($E164:$M164,0,AY$231+1)-INDEX($E164:$M164,0,AY$231))/(INDEX($E$160:$M$160,0,AY$231+1)-INDEX($E$160:$M$160,0,AY$231))+AW236)))</f>
        <v>20.304269560519167</v>
      </c>
      <c r="AZ236" s="186"/>
      <c r="BA236" s="186"/>
      <c r="BB236" s="186"/>
      <c r="BC236" s="186"/>
      <c r="BD236" s="186"/>
      <c r="BE236" s="186"/>
    </row>
    <row r="237" spans="1:58">
      <c r="A237" s="185" t="s">
        <v>16</v>
      </c>
      <c r="B237" s="22" t="str">
        <f t="shared" si="617"/>
        <v/>
      </c>
      <c r="C237" s="23" t="str">
        <f t="shared" si="618"/>
        <v/>
      </c>
      <c r="E237" s="23" t="str">
        <f t="shared" si="619"/>
        <v/>
      </c>
      <c r="F237" s="23"/>
      <c r="G237" s="23" t="str">
        <f t="shared" si="619"/>
        <v/>
      </c>
      <c r="H237" s="23" t="str">
        <f t="shared" si="619"/>
        <v/>
      </c>
      <c r="I237" s="57" t="str">
        <f>B165</f>
        <v>TPPUMBT</v>
      </c>
      <c r="J237" s="186">
        <f>E165</f>
        <v>82.782459287376753</v>
      </c>
      <c r="K237" s="186">
        <f t="shared" ref="K237:AW237" si="624">IF(L$231=-1,L237,IF(L$231=99,J237,IF(L$231=0,INDEX($E165:$M165,0,L$229),(INDEX($E165:$M165,0,L$231+1)-INDEX($E165:$M165,0,L$231))/(INDEX($E$160:$M$160,0,L$231+1)-INDEX($E$160:$M$160,0,L$231))+J237)))</f>
        <v>86.981233589975815</v>
      </c>
      <c r="L237" s="186">
        <f t="shared" si="624"/>
        <v>91.180007892574878</v>
      </c>
      <c r="M237" s="186">
        <f t="shared" si="624"/>
        <v>95.37878219517394</v>
      </c>
      <c r="N237" s="186">
        <f t="shared" si="624"/>
        <v>98.022523458227496</v>
      </c>
      <c r="O237" s="186">
        <f t="shared" si="624"/>
        <v>100.66626472128105</v>
      </c>
      <c r="P237" s="186">
        <f t="shared" si="624"/>
        <v>101.84205547694515</v>
      </c>
      <c r="Q237" s="186">
        <f t="shared" si="624"/>
        <v>103.01784623260926</v>
      </c>
      <c r="R237" s="186">
        <f t="shared" si="624"/>
        <v>103.01784623260926</v>
      </c>
      <c r="S237" s="186">
        <f t="shared" si="624"/>
        <v>106.50671092923601</v>
      </c>
      <c r="T237" s="186">
        <f t="shared" si="624"/>
        <v>109.99557562586276</v>
      </c>
      <c r="U237" s="186">
        <f t="shared" si="624"/>
        <v>113.4844403224895</v>
      </c>
      <c r="V237" s="186">
        <f t="shared" si="624"/>
        <v>116.97330501911625</v>
      </c>
      <c r="W237" s="186">
        <f t="shared" si="624"/>
        <v>120.462169715743</v>
      </c>
      <c r="X237" s="186">
        <f t="shared" si="624"/>
        <v>123.95103441236975</v>
      </c>
      <c r="Y237" s="186">
        <f t="shared" si="624"/>
        <v>127.4398991089965</v>
      </c>
      <c r="Z237" s="186">
        <f t="shared" si="624"/>
        <v>130.92876380562325</v>
      </c>
      <c r="AA237" s="186">
        <f t="shared" si="624"/>
        <v>134.41762850225001</v>
      </c>
      <c r="AB237" s="186">
        <f t="shared" si="624"/>
        <v>106.50671092923601</v>
      </c>
      <c r="AC237" s="186">
        <f t="shared" si="624"/>
        <v>105.63104604308211</v>
      </c>
      <c r="AD237" s="186">
        <f t="shared" si="624"/>
        <v>104.75538115692821</v>
      </c>
      <c r="AE237" s="186">
        <f t="shared" si="624"/>
        <v>103.87971627077431</v>
      </c>
      <c r="AF237" s="186">
        <f t="shared" si="624"/>
        <v>103.00405138462041</v>
      </c>
      <c r="AG237" s="186">
        <f t="shared" si="624"/>
        <v>102.12838649846651</v>
      </c>
      <c r="AH237" s="186">
        <f t="shared" si="624"/>
        <v>101.25272161231261</v>
      </c>
      <c r="AI237" s="186">
        <f t="shared" si="624"/>
        <v>100.37705672615871</v>
      </c>
      <c r="AJ237" s="186">
        <f t="shared" si="624"/>
        <v>99.501391840004814</v>
      </c>
      <c r="AK237" s="186">
        <f t="shared" si="624"/>
        <v>98.625726953850915</v>
      </c>
      <c r="AL237" s="186">
        <f t="shared" si="624"/>
        <v>105.63104604308211</v>
      </c>
      <c r="AM237" s="186">
        <f t="shared" si="624"/>
        <v>105.82988106673852</v>
      </c>
      <c r="AN237" s="186">
        <f t="shared" si="624"/>
        <v>106.02871609039494</v>
      </c>
      <c r="AO237" s="186">
        <f t="shared" si="624"/>
        <v>106.22755111405135</v>
      </c>
      <c r="AP237" s="186">
        <f t="shared" si="624"/>
        <v>106.42638613770777</v>
      </c>
      <c r="AQ237" s="186">
        <f t="shared" si="624"/>
        <v>106.62522116136418</v>
      </c>
      <c r="AR237" s="186">
        <f t="shared" si="624"/>
        <v>106.82405618502059</v>
      </c>
      <c r="AS237" s="186">
        <f t="shared" si="624"/>
        <v>107.02289120867701</v>
      </c>
      <c r="AT237" s="186">
        <f t="shared" si="624"/>
        <v>107.22172623233342</v>
      </c>
      <c r="AU237" s="186">
        <f t="shared" si="624"/>
        <v>107.42056125598984</v>
      </c>
      <c r="AV237" s="186">
        <f t="shared" si="624"/>
        <v>107.4205612559899</v>
      </c>
      <c r="AW237" s="186">
        <f t="shared" si="624"/>
        <v>107.4205612559899</v>
      </c>
      <c r="AX237" s="186">
        <f>IF(AY$231=-1,AZ237,IF(AY$231=99,AW237,IF(AY$231=0,INDEX($E165:$M165,0,AY$229),(INDEX($E165:$M165,0,AY$231+1)-INDEX($E165:$M165,0,AY$231))/(INDEX($E$160:$M$160,0,AY$231+1)-INDEX($E$160:$M$160,0,AY$231))+AW237)))</f>
        <v>107.4205612559899</v>
      </c>
      <c r="AZ237" s="186"/>
      <c r="BA237" s="186"/>
      <c r="BB237" s="186"/>
      <c r="BC237" s="186"/>
      <c r="BD237" s="186"/>
      <c r="BE237" s="186"/>
    </row>
    <row r="238" spans="1:58">
      <c r="A238" s="185" t="s">
        <v>16</v>
      </c>
      <c r="B238" s="22" t="str">
        <f t="shared" si="617"/>
        <v/>
      </c>
      <c r="C238" s="23" t="str">
        <f t="shared" si="618"/>
        <v/>
      </c>
      <c r="E238" s="23" t="str">
        <f t="shared" si="619"/>
        <v/>
      </c>
      <c r="F238" s="23"/>
      <c r="G238" s="23" t="str">
        <f t="shared" si="619"/>
        <v/>
      </c>
      <c r="H238" s="23" t="str">
        <f t="shared" si="619"/>
        <v/>
      </c>
      <c r="I238" s="57" t="str">
        <f>B166</f>
        <v>TPPUBRT</v>
      </c>
      <c r="J238" s="186">
        <f>E166</f>
        <v>0.52719012107388186</v>
      </c>
      <c r="K238" s="186">
        <f t="shared" ref="K238:AW238" si="625">IF(L$231=-1,L238,IF(L$231=99,J238,IF(L$231=0,INDEX($E166:$M166,0,L$229),(INDEX($E166:$M166,0,L$231+1)-INDEX($E166:$M166,0,L$231))/(INDEX($E$160:$M$160,0,L$231+1)-INDEX($E$160:$M$160,0,L$231))+J238)))</f>
        <v>0.61204104344170607</v>
      </c>
      <c r="L238" s="186">
        <f t="shared" si="625"/>
        <v>0.69689196580953028</v>
      </c>
      <c r="M238" s="186">
        <f t="shared" si="625"/>
        <v>0.78174288817735449</v>
      </c>
      <c r="N238" s="186">
        <f t="shared" si="625"/>
        <v>1.1773693267136232</v>
      </c>
      <c r="O238" s="186">
        <f t="shared" si="625"/>
        <v>1.5729957652498918</v>
      </c>
      <c r="P238" s="186">
        <f t="shared" si="625"/>
        <v>2.055993971556382</v>
      </c>
      <c r="Q238" s="186">
        <f t="shared" si="625"/>
        <v>2.5389921778628719</v>
      </c>
      <c r="R238" s="186">
        <f t="shared" si="625"/>
        <v>2.5389921778628719</v>
      </c>
      <c r="S238" s="186">
        <f t="shared" si="625"/>
        <v>2.6062673324390282</v>
      </c>
      <c r="T238" s="186">
        <f t="shared" si="625"/>
        <v>2.6735424870151845</v>
      </c>
      <c r="U238" s="186">
        <f t="shared" si="625"/>
        <v>2.7408176415913408</v>
      </c>
      <c r="V238" s="186">
        <f t="shared" si="625"/>
        <v>2.8080927961674971</v>
      </c>
      <c r="W238" s="186">
        <f t="shared" si="625"/>
        <v>2.8753679507436534</v>
      </c>
      <c r="X238" s="186">
        <f t="shared" si="625"/>
        <v>2.9426431053198097</v>
      </c>
      <c r="Y238" s="186">
        <f t="shared" si="625"/>
        <v>3.009918259895966</v>
      </c>
      <c r="Z238" s="186">
        <f t="shared" si="625"/>
        <v>3.0771934144721222</v>
      </c>
      <c r="AA238" s="186">
        <f t="shared" si="625"/>
        <v>3.1444685690482785</v>
      </c>
      <c r="AB238" s="186">
        <f t="shared" si="625"/>
        <v>2.6062673324390282</v>
      </c>
      <c r="AC238" s="186">
        <f t="shared" si="625"/>
        <v>7.3436313525543344</v>
      </c>
      <c r="AD238" s="186">
        <f t="shared" si="625"/>
        <v>12.080995372669641</v>
      </c>
      <c r="AE238" s="186">
        <f t="shared" si="625"/>
        <v>16.818359392784949</v>
      </c>
      <c r="AF238" s="186">
        <f t="shared" si="625"/>
        <v>21.555723412900257</v>
      </c>
      <c r="AG238" s="186">
        <f t="shared" si="625"/>
        <v>26.293087433015565</v>
      </c>
      <c r="AH238" s="186">
        <f t="shared" si="625"/>
        <v>31.030451453130873</v>
      </c>
      <c r="AI238" s="186">
        <f t="shared" si="625"/>
        <v>35.767815473246181</v>
      </c>
      <c r="AJ238" s="186">
        <f t="shared" si="625"/>
        <v>40.505179493361489</v>
      </c>
      <c r="AK238" s="186">
        <f t="shared" si="625"/>
        <v>45.242543513476797</v>
      </c>
      <c r="AL238" s="186">
        <f t="shared" si="625"/>
        <v>7.3436313525543344</v>
      </c>
      <c r="AM238" s="186">
        <f t="shared" si="625"/>
        <v>8.1048483154113455</v>
      </c>
      <c r="AN238" s="186">
        <f t="shared" si="625"/>
        <v>8.8660652782683567</v>
      </c>
      <c r="AO238" s="186">
        <f t="shared" si="625"/>
        <v>9.6272822411253678</v>
      </c>
      <c r="AP238" s="186">
        <f t="shared" si="625"/>
        <v>10.388499203982379</v>
      </c>
      <c r="AQ238" s="186">
        <f t="shared" si="625"/>
        <v>11.14971616683939</v>
      </c>
      <c r="AR238" s="186">
        <f t="shared" si="625"/>
        <v>11.910933129696401</v>
      </c>
      <c r="AS238" s="186">
        <f t="shared" si="625"/>
        <v>12.672150092553412</v>
      </c>
      <c r="AT238" s="186">
        <f t="shared" si="625"/>
        <v>13.433367055410423</v>
      </c>
      <c r="AU238" s="186">
        <f t="shared" si="625"/>
        <v>14.194584018267435</v>
      </c>
      <c r="AV238" s="186">
        <f t="shared" si="625"/>
        <v>14.194584018267442</v>
      </c>
      <c r="AW238" s="186">
        <f t="shared" si="625"/>
        <v>14.194584018267442</v>
      </c>
      <c r="AX238" s="186">
        <f>IF(AY$231=-1,AZ238,IF(AY$231=99,AW238,IF(AY$231=0,INDEX($E166:$M166,0,AY$229),(INDEX($E166:$M166,0,AY$231+1)-INDEX($E166:$M166,0,AY$231))/(INDEX($E$160:$M$160,0,AY$231+1)-INDEX($E$160:$M$160,0,AY$231))+AW238)))</f>
        <v>14.194584018267442</v>
      </c>
      <c r="AZ238" s="186"/>
      <c r="BA238" s="186"/>
      <c r="BB238" s="186"/>
      <c r="BC238" s="186"/>
      <c r="BD238" s="186"/>
      <c r="BE238" s="186"/>
    </row>
    <row r="239" spans="1:58">
      <c r="A239" s="185" t="s">
        <v>16</v>
      </c>
      <c r="B239" s="22"/>
      <c r="C239" s="23"/>
      <c r="E239" s="23"/>
      <c r="F239" s="23"/>
      <c r="G239" s="23"/>
      <c r="H239" s="23"/>
      <c r="I239" s="57" t="str">
        <f>B167</f>
        <v>TPPUMER</v>
      </c>
      <c r="J239" s="186">
        <f>E167</f>
        <v>14.377943324329372</v>
      </c>
      <c r="K239" s="186">
        <f t="shared" ref="K239:AW239" si="626">IF(L$231=-1,L239,IF(L$231=99,J239,IF(L$231=0,INDEX($E167:$M167,0,L$229),(INDEX($E167:$M167,0,L$231+1)-INDEX($E167:$M167,0,L$231))/(INDEX($E$160:$M$160,0,L$231+1)-INDEX($E$160:$M$160,0,L$231))+J239)))</f>
        <v>13.600515897817941</v>
      </c>
      <c r="L239" s="186">
        <f t="shared" si="626"/>
        <v>12.823088471306509</v>
      </c>
      <c r="M239" s="186">
        <f t="shared" si="626"/>
        <v>12.045661044795077</v>
      </c>
      <c r="N239" s="186">
        <f t="shared" si="626"/>
        <v>10.458317282147467</v>
      </c>
      <c r="O239" s="186">
        <f t="shared" si="626"/>
        <v>8.8709735194998576</v>
      </c>
      <c r="P239" s="186">
        <f t="shared" si="626"/>
        <v>8.9745872642518663</v>
      </c>
      <c r="Q239" s="186">
        <f t="shared" si="626"/>
        <v>9.0782010090038749</v>
      </c>
      <c r="R239" s="186">
        <f t="shared" si="626"/>
        <v>9.0782010090038749</v>
      </c>
      <c r="S239" s="186">
        <f t="shared" si="626"/>
        <v>9.3856488558330522</v>
      </c>
      <c r="T239" s="186">
        <f t="shared" si="626"/>
        <v>9.6930967026622294</v>
      </c>
      <c r="U239" s="186">
        <f t="shared" si="626"/>
        <v>10.000544549491407</v>
      </c>
      <c r="V239" s="186">
        <f t="shared" si="626"/>
        <v>10.307992396320584</v>
      </c>
      <c r="W239" s="186">
        <f t="shared" si="626"/>
        <v>10.615440243149761</v>
      </c>
      <c r="X239" s="186">
        <f t="shared" si="626"/>
        <v>10.922888089978938</v>
      </c>
      <c r="Y239" s="186">
        <f t="shared" si="626"/>
        <v>11.230335936808116</v>
      </c>
      <c r="Z239" s="186">
        <f t="shared" si="626"/>
        <v>11.537783783637293</v>
      </c>
      <c r="AA239" s="186">
        <f t="shared" si="626"/>
        <v>11.84523163046647</v>
      </c>
      <c r="AB239" s="186">
        <f t="shared" si="626"/>
        <v>9.3856488558330522</v>
      </c>
      <c r="AC239" s="186">
        <f t="shared" si="626"/>
        <v>9.3084829846394115</v>
      </c>
      <c r="AD239" s="186">
        <f t="shared" si="626"/>
        <v>9.2313171134457708</v>
      </c>
      <c r="AE239" s="186">
        <f t="shared" si="626"/>
        <v>9.1541512422521301</v>
      </c>
      <c r="AF239" s="186">
        <f t="shared" si="626"/>
        <v>9.0769853710584893</v>
      </c>
      <c r="AG239" s="186">
        <f t="shared" si="626"/>
        <v>8.9998194998648486</v>
      </c>
      <c r="AH239" s="186">
        <f t="shared" si="626"/>
        <v>8.9226536286712079</v>
      </c>
      <c r="AI239" s="186">
        <f t="shared" si="626"/>
        <v>8.8454877574775672</v>
      </c>
      <c r="AJ239" s="186">
        <f t="shared" si="626"/>
        <v>8.7683218862839265</v>
      </c>
      <c r="AK239" s="186">
        <f t="shared" si="626"/>
        <v>8.6911560150902858</v>
      </c>
      <c r="AL239" s="186">
        <f t="shared" si="626"/>
        <v>9.3084829846394115</v>
      </c>
      <c r="AM239" s="186">
        <f t="shared" si="626"/>
        <v>9.3260048449616253</v>
      </c>
      <c r="AN239" s="186">
        <f t="shared" si="626"/>
        <v>9.3435267052838391</v>
      </c>
      <c r="AO239" s="186">
        <f t="shared" si="626"/>
        <v>9.3610485656060529</v>
      </c>
      <c r="AP239" s="186">
        <f t="shared" si="626"/>
        <v>9.3785704259282667</v>
      </c>
      <c r="AQ239" s="186">
        <f t="shared" si="626"/>
        <v>9.3960922862504805</v>
      </c>
      <c r="AR239" s="186">
        <f t="shared" si="626"/>
        <v>9.4136141465726944</v>
      </c>
      <c r="AS239" s="186">
        <f t="shared" si="626"/>
        <v>9.4311360068949082</v>
      </c>
      <c r="AT239" s="186">
        <f t="shared" si="626"/>
        <v>9.448657867217122</v>
      </c>
      <c r="AU239" s="186">
        <f t="shared" si="626"/>
        <v>9.4661797275393358</v>
      </c>
      <c r="AV239" s="186">
        <f t="shared" si="626"/>
        <v>9.4661797275393322</v>
      </c>
      <c r="AW239" s="186">
        <f t="shared" si="626"/>
        <v>9.4661797275393322</v>
      </c>
      <c r="AX239" s="186">
        <f>IF(AY$231=-1,AZ239,IF(AY$231=99,AW239,IF(AY$231=0,INDEX($E167:$M167,0,AY$229),(INDEX($E167:$M167,0,AY$231+1)-INDEX($E167:$M167,0,AY$231))/(INDEX($E$160:$M$160,0,AY$231+1)-INDEX($E$160:$M$160,0,AY$231))+AW239)))</f>
        <v>9.4661797275393322</v>
      </c>
      <c r="AZ239" s="186"/>
      <c r="BA239" s="186"/>
      <c r="BB239" s="186"/>
      <c r="BC239" s="186"/>
      <c r="BD239" s="186"/>
      <c r="BE239" s="186"/>
    </row>
    <row r="240" spans="1:58">
      <c r="A240" s="185" t="s">
        <v>16</v>
      </c>
      <c r="B240" s="22"/>
      <c r="C240" s="23"/>
      <c r="E240" s="23"/>
      <c r="F240" s="23"/>
      <c r="G240" s="23"/>
      <c r="H240" s="23"/>
      <c r="I240" s="57" t="str">
        <f>B168</f>
        <v>TPPUGAT</v>
      </c>
      <c r="J240" s="186">
        <f>E168</f>
        <v>0.53452578037785492</v>
      </c>
      <c r="K240" s="186">
        <f t="shared" ref="K240:AW240" si="627">IF(L$231=-1,L240,IF(L$231=99,J240,IF(L$231=0,INDEX($E168:$M168,0,L$229),(INDEX($E168:$M168,0,L$231+1)-INDEX($E168:$M168,0,L$231))/(INDEX($E$160:$M$160,0,L$231+1)-INDEX($E$160:$M$160,0,L$231))+J240)))</f>
        <v>0.55248564192940541</v>
      </c>
      <c r="L240" s="186">
        <f t="shared" si="627"/>
        <v>0.57044550348095591</v>
      </c>
      <c r="M240" s="186">
        <f t="shared" si="627"/>
        <v>0.58840536503250629</v>
      </c>
      <c r="N240" s="186">
        <f t="shared" si="627"/>
        <v>0.60651580293507878</v>
      </c>
      <c r="O240" s="186">
        <f t="shared" si="627"/>
        <v>0.62462624083765128</v>
      </c>
      <c r="P240" s="186">
        <f t="shared" si="627"/>
        <v>0.64844460531963566</v>
      </c>
      <c r="Q240" s="186">
        <f t="shared" si="627"/>
        <v>0.67226296980162004</v>
      </c>
      <c r="R240" s="186">
        <f t="shared" si="627"/>
        <v>0.67226296980162004</v>
      </c>
      <c r="S240" s="186">
        <f t="shared" si="627"/>
        <v>0.64616666359533781</v>
      </c>
      <c r="T240" s="186">
        <f t="shared" si="627"/>
        <v>0.62007035738905558</v>
      </c>
      <c r="U240" s="186">
        <f t="shared" si="627"/>
        <v>0.59397405118277335</v>
      </c>
      <c r="V240" s="186">
        <f t="shared" si="627"/>
        <v>0.56787774497649113</v>
      </c>
      <c r="W240" s="186">
        <f t="shared" si="627"/>
        <v>0.5417814387702089</v>
      </c>
      <c r="X240" s="186">
        <f t="shared" si="627"/>
        <v>0.51568513256392667</v>
      </c>
      <c r="Y240" s="186">
        <f t="shared" si="627"/>
        <v>0.48958882635764445</v>
      </c>
      <c r="Z240" s="186">
        <f t="shared" si="627"/>
        <v>0.46349252015136222</v>
      </c>
      <c r="AA240" s="186">
        <f t="shared" si="627"/>
        <v>0.43739621394507999</v>
      </c>
      <c r="AB240" s="186">
        <f t="shared" si="627"/>
        <v>0.64616666359533781</v>
      </c>
      <c r="AC240" s="186">
        <f t="shared" si="627"/>
        <v>0.64672402075743496</v>
      </c>
      <c r="AD240" s="186">
        <f t="shared" si="627"/>
        <v>0.64728137791953211</v>
      </c>
      <c r="AE240" s="186">
        <f t="shared" si="627"/>
        <v>0.64783873508162926</v>
      </c>
      <c r="AF240" s="186">
        <f t="shared" si="627"/>
        <v>0.64839609224372641</v>
      </c>
      <c r="AG240" s="186">
        <f t="shared" si="627"/>
        <v>0.64895344940582356</v>
      </c>
      <c r="AH240" s="186">
        <f t="shared" si="627"/>
        <v>0.64951080656792071</v>
      </c>
      <c r="AI240" s="186">
        <f t="shared" si="627"/>
        <v>0.65006816373001786</v>
      </c>
      <c r="AJ240" s="186">
        <f t="shared" si="627"/>
        <v>0.65062552089211501</v>
      </c>
      <c r="AK240" s="186">
        <f t="shared" si="627"/>
        <v>0.65118287805421216</v>
      </c>
      <c r="AL240" s="186">
        <f t="shared" si="627"/>
        <v>0.64672402075743496</v>
      </c>
      <c r="AM240" s="186">
        <f t="shared" si="627"/>
        <v>0.66645524691108848</v>
      </c>
      <c r="AN240" s="186">
        <f t="shared" si="627"/>
        <v>0.68618647306474201</v>
      </c>
      <c r="AO240" s="186">
        <f t="shared" si="627"/>
        <v>0.70591769921839553</v>
      </c>
      <c r="AP240" s="186">
        <f t="shared" si="627"/>
        <v>0.72564892537204906</v>
      </c>
      <c r="AQ240" s="186">
        <f t="shared" si="627"/>
        <v>0.74538015152570258</v>
      </c>
      <c r="AR240" s="186">
        <f t="shared" si="627"/>
        <v>0.76511137767935611</v>
      </c>
      <c r="AS240" s="186">
        <f t="shared" si="627"/>
        <v>0.78484260383300963</v>
      </c>
      <c r="AT240" s="186">
        <f t="shared" si="627"/>
        <v>0.80457382998666316</v>
      </c>
      <c r="AU240" s="186">
        <f t="shared" si="627"/>
        <v>0.82430505614031668</v>
      </c>
      <c r="AV240" s="186">
        <f t="shared" si="627"/>
        <v>0.82430505614031691</v>
      </c>
      <c r="AW240" s="186">
        <f t="shared" si="627"/>
        <v>0.82430505614031691</v>
      </c>
      <c r="AX240" s="186">
        <f>IF(AY$231=-1,AZ240,IF(AY$231=99,AW240,IF(AY$231=0,INDEX($E168:$M168,0,AY$229),(INDEX($E168:$M168,0,AY$231+1)-INDEX($E168:$M168,0,AY$231))/(INDEX($E$160:$M$160,0,AY$231+1)-INDEX($E$160:$M$160,0,AY$231))+AW240)))</f>
        <v>0.82430505614031691</v>
      </c>
      <c r="AZ240" s="186"/>
      <c r="BA240" s="186"/>
      <c r="BB240" s="186"/>
      <c r="BC240" s="186"/>
      <c r="BD240" s="186"/>
      <c r="BE240" s="186"/>
    </row>
    <row r="241" spans="1:58">
      <c r="B241" s="22"/>
      <c r="C241" s="23"/>
      <c r="E241" s="23"/>
      <c r="F241" s="23"/>
      <c r="G241" s="23"/>
      <c r="H241" s="23"/>
      <c r="I241" s="23"/>
      <c r="J241" s="23"/>
      <c r="K241" s="57"/>
      <c r="L241" s="186"/>
      <c r="M241" s="186"/>
      <c r="N241" s="186"/>
      <c r="O241" s="186"/>
      <c r="P241" s="186"/>
      <c r="Q241" s="186"/>
      <c r="R241" s="186"/>
      <c r="S241" s="186"/>
      <c r="T241" s="186"/>
      <c r="U241" s="186"/>
      <c r="V241" s="186"/>
      <c r="W241" s="186"/>
      <c r="X241" s="186"/>
      <c r="Y241" s="186"/>
      <c r="Z241" s="186"/>
      <c r="AA241" s="186"/>
      <c r="AB241" s="186"/>
      <c r="AC241" s="186"/>
      <c r="AD241" s="186"/>
      <c r="AE241" s="186"/>
      <c r="AF241" s="186"/>
      <c r="AG241" s="186"/>
      <c r="AH241" s="186"/>
      <c r="AI241" s="186"/>
      <c r="AJ241" s="186"/>
      <c r="AK241" s="186"/>
      <c r="AL241" s="186"/>
      <c r="AM241" s="186"/>
      <c r="AN241" s="186"/>
      <c r="AO241" s="186"/>
      <c r="AP241" s="186"/>
      <c r="AQ241" s="186"/>
      <c r="AR241" s="186"/>
      <c r="AS241" s="186"/>
      <c r="AT241" s="186"/>
      <c r="AU241" s="186"/>
      <c r="AV241" s="186"/>
      <c r="AW241" s="186"/>
      <c r="AX241" s="186"/>
    </row>
    <row r="242" spans="1:58">
      <c r="B242" s="22"/>
      <c r="C242" s="23"/>
      <c r="E242" s="23"/>
      <c r="F242" s="23"/>
      <c r="G242" s="23"/>
      <c r="H242" s="23"/>
      <c r="I242" s="23"/>
      <c r="J242" s="23"/>
      <c r="K242" s="57"/>
      <c r="L242" s="186"/>
      <c r="M242" s="186"/>
      <c r="N242" s="186"/>
      <c r="O242" s="186"/>
      <c r="P242" s="186"/>
      <c r="Q242" s="186"/>
      <c r="R242" s="186"/>
      <c r="S242" s="186"/>
      <c r="T242" s="186"/>
      <c r="U242" s="186"/>
      <c r="V242" s="186"/>
      <c r="W242" s="186"/>
      <c r="X242" s="186"/>
      <c r="Y242" s="186"/>
      <c r="Z242" s="186"/>
      <c r="AA242" s="186"/>
      <c r="AB242" s="186"/>
      <c r="AC242" s="186"/>
      <c r="AD242" s="186"/>
      <c r="AE242" s="186"/>
      <c r="AF242" s="186"/>
      <c r="AG242" s="186"/>
      <c r="AH242" s="186"/>
      <c r="AI242" s="186"/>
      <c r="AJ242" s="186"/>
      <c r="AK242" s="186"/>
      <c r="AL242" s="186"/>
      <c r="AM242" s="186"/>
      <c r="AN242" s="186"/>
      <c r="AO242" s="186"/>
      <c r="AP242" s="186"/>
      <c r="AQ242" s="186"/>
      <c r="AR242" s="186"/>
      <c r="AS242" s="186"/>
      <c r="AT242" s="186"/>
      <c r="AU242" s="186"/>
      <c r="AV242" s="186"/>
      <c r="AW242" s="186"/>
      <c r="AX242" s="186"/>
    </row>
    <row r="243" spans="1:58">
      <c r="B243" s="22"/>
      <c r="C243" s="23"/>
      <c r="E243" s="23"/>
      <c r="F243" s="23"/>
      <c r="G243" s="23"/>
      <c r="H243" s="23"/>
      <c r="I243" s="23"/>
      <c r="J243" s="23"/>
      <c r="K243" s="57"/>
      <c r="L243" s="186"/>
      <c r="M243" s="186"/>
      <c r="N243" s="186"/>
      <c r="O243" s="186"/>
      <c r="P243" s="186"/>
      <c r="Q243" s="186"/>
      <c r="R243" s="186"/>
      <c r="S243" s="186"/>
      <c r="T243" s="186"/>
      <c r="U243" s="186"/>
      <c r="V243" s="186"/>
      <c r="W243" s="186"/>
      <c r="X243" s="186"/>
      <c r="Y243" s="186"/>
      <c r="Z243" s="186"/>
      <c r="AA243" s="186"/>
      <c r="AB243" s="186"/>
      <c r="AC243" s="186"/>
      <c r="AD243" s="186"/>
      <c r="AE243" s="186"/>
      <c r="AF243" s="186"/>
      <c r="AG243" s="186"/>
      <c r="AH243" s="186"/>
      <c r="AI243" s="186"/>
      <c r="AJ243" s="186"/>
      <c r="AK243" s="186"/>
      <c r="AL243" s="186"/>
      <c r="AM243" s="186"/>
      <c r="AN243" s="186"/>
      <c r="AO243" s="186"/>
      <c r="AP243" s="186"/>
      <c r="AQ243" s="186"/>
      <c r="AR243" s="186"/>
      <c r="AS243" s="186"/>
      <c r="AT243" s="186"/>
      <c r="AU243" s="186"/>
      <c r="AV243" s="186"/>
      <c r="AW243" s="186"/>
      <c r="AX243" s="186"/>
    </row>
    <row r="244" spans="1:58">
      <c r="B244" s="22"/>
      <c r="C244" s="23"/>
      <c r="E244" s="23"/>
      <c r="F244" s="23"/>
      <c r="G244" s="23"/>
      <c r="H244" s="23"/>
      <c r="I244" s="23"/>
      <c r="J244" s="23"/>
      <c r="K244" s="57"/>
      <c r="L244" s="186"/>
      <c r="M244" s="186"/>
      <c r="N244" s="186"/>
      <c r="O244" s="186"/>
      <c r="P244" s="186"/>
      <c r="Q244" s="186"/>
      <c r="R244" s="186"/>
      <c r="S244" s="186"/>
      <c r="T244" s="186"/>
      <c r="U244" s="186"/>
      <c r="V244" s="186"/>
      <c r="W244" s="186"/>
      <c r="X244" s="186"/>
      <c r="Y244" s="186"/>
      <c r="Z244" s="186"/>
      <c r="AA244" s="186"/>
      <c r="AB244" s="186"/>
      <c r="AC244" s="186"/>
      <c r="AD244" s="186"/>
      <c r="AE244" s="186"/>
      <c r="AF244" s="186"/>
      <c r="AG244" s="186"/>
      <c r="AH244" s="186"/>
      <c r="AI244" s="186"/>
      <c r="AJ244" s="186"/>
      <c r="AK244" s="186"/>
      <c r="AL244" s="186"/>
      <c r="AM244" s="186"/>
      <c r="AN244" s="186"/>
      <c r="AO244" s="186"/>
      <c r="AP244" s="186"/>
      <c r="AQ244" s="186"/>
      <c r="AR244" s="186"/>
      <c r="AS244" s="186"/>
      <c r="AT244" s="186"/>
      <c r="AU244" s="186"/>
      <c r="AV244" s="186"/>
      <c r="AW244" s="186"/>
      <c r="AX244" s="186"/>
    </row>
    <row r="245" spans="1:58">
      <c r="B245" s="22"/>
      <c r="C245" s="23"/>
      <c r="E245" s="23"/>
      <c r="F245" s="23"/>
      <c r="G245" s="23"/>
      <c r="H245" s="23"/>
      <c r="I245" s="23"/>
      <c r="J245" s="23"/>
      <c r="K245" s="57"/>
      <c r="L245" s="186"/>
      <c r="M245" s="186"/>
      <c r="N245" s="186"/>
      <c r="O245" s="186"/>
      <c r="P245" s="186"/>
      <c r="Q245" s="186"/>
      <c r="R245" s="186"/>
      <c r="S245" s="186"/>
      <c r="T245" s="186"/>
      <c r="U245" s="186"/>
      <c r="V245" s="186"/>
      <c r="W245" s="186"/>
      <c r="X245" s="186"/>
      <c r="Y245" s="186"/>
      <c r="Z245" s="186"/>
      <c r="AA245" s="186"/>
      <c r="AB245" s="186"/>
      <c r="AC245" s="186"/>
      <c r="AD245" s="186"/>
      <c r="AE245" s="186"/>
      <c r="AF245" s="186"/>
      <c r="AG245" s="186"/>
      <c r="AH245" s="186"/>
      <c r="AI245" s="186"/>
      <c r="AJ245" s="186"/>
      <c r="AK245" s="186"/>
      <c r="AL245" s="186"/>
      <c r="AM245" s="186"/>
      <c r="AN245" s="186"/>
      <c r="AO245" s="186"/>
      <c r="AP245" s="186"/>
      <c r="AQ245" s="186"/>
      <c r="AR245" s="186"/>
      <c r="AS245" s="186"/>
      <c r="AT245" s="186"/>
      <c r="AU245" s="186"/>
      <c r="AV245" s="186"/>
      <c r="AW245" s="186"/>
      <c r="AX245" s="186"/>
    </row>
    <row r="246" spans="1:58">
      <c r="B246" s="22"/>
      <c r="C246" s="23"/>
      <c r="E246" s="23"/>
      <c r="F246" s="23"/>
      <c r="G246" s="23"/>
      <c r="H246" s="23"/>
      <c r="I246" s="23"/>
      <c r="J246" s="23"/>
      <c r="K246" s="57"/>
      <c r="L246" s="186"/>
      <c r="M246" s="186"/>
      <c r="N246" s="186"/>
      <c r="O246" s="186"/>
      <c r="P246" s="186"/>
      <c r="Q246" s="186"/>
      <c r="R246" s="186"/>
      <c r="S246" s="186"/>
      <c r="T246" s="186"/>
      <c r="U246" s="186"/>
      <c r="V246" s="186"/>
      <c r="W246" s="186"/>
      <c r="X246" s="186"/>
      <c r="Y246" s="186"/>
      <c r="Z246" s="186"/>
      <c r="AA246" s="186"/>
      <c r="AB246" s="186"/>
      <c r="AC246" s="186"/>
      <c r="AD246" s="186"/>
      <c r="AE246" s="186"/>
      <c r="AF246" s="186"/>
      <c r="AG246" s="186"/>
      <c r="AH246" s="186"/>
      <c r="AI246" s="186"/>
      <c r="AJ246" s="186"/>
      <c r="AK246" s="186"/>
      <c r="AL246" s="186"/>
      <c r="AM246" s="186"/>
      <c r="AN246" s="186"/>
      <c r="AO246" s="186"/>
      <c r="AP246" s="186"/>
      <c r="AQ246" s="186"/>
      <c r="AR246" s="186"/>
      <c r="AS246" s="186"/>
      <c r="AT246" s="186"/>
      <c r="AU246" s="186"/>
      <c r="AV246" s="186"/>
      <c r="AW246" s="186"/>
      <c r="AX246" s="186"/>
    </row>
    <row r="247" spans="1:58">
      <c r="B247" s="22"/>
      <c r="C247" s="23"/>
      <c r="E247" s="23"/>
      <c r="F247" s="23"/>
      <c r="G247" s="23"/>
      <c r="H247" s="23"/>
      <c r="I247" s="23"/>
      <c r="J247" s="23"/>
      <c r="K247" s="57"/>
      <c r="L247" s="186"/>
      <c r="M247" s="186"/>
      <c r="N247" s="186"/>
      <c r="O247" s="186"/>
      <c r="P247" s="186"/>
      <c r="Q247" s="186"/>
      <c r="R247" s="186"/>
      <c r="S247" s="186"/>
      <c r="T247" s="186"/>
      <c r="U247" s="186"/>
      <c r="V247" s="186"/>
      <c r="W247" s="186"/>
      <c r="X247" s="186"/>
      <c r="Y247" s="186"/>
      <c r="Z247" s="186"/>
      <c r="AA247" s="186"/>
      <c r="AB247" s="186"/>
      <c r="AC247" s="186"/>
      <c r="AD247" s="186"/>
      <c r="AE247" s="186"/>
      <c r="AF247" s="186"/>
      <c r="AG247" s="186"/>
      <c r="AH247" s="186"/>
      <c r="AI247" s="186"/>
      <c r="AJ247" s="186"/>
      <c r="AK247" s="186"/>
      <c r="AL247" s="186"/>
      <c r="AM247" s="186"/>
      <c r="AN247" s="186"/>
      <c r="AO247" s="186"/>
      <c r="AP247" s="186"/>
      <c r="AQ247" s="186"/>
      <c r="AR247" s="186"/>
      <c r="AS247" s="186"/>
      <c r="AT247" s="186"/>
      <c r="AU247" s="186"/>
      <c r="AV247" s="186"/>
      <c r="AW247" s="186"/>
      <c r="AX247" s="186"/>
    </row>
    <row r="248" spans="1:58">
      <c r="A248" s="185" t="s">
        <v>16</v>
      </c>
      <c r="L248" s="185"/>
      <c r="M248" s="40"/>
    </row>
    <row r="249" spans="1:58">
      <c r="A249" s="185" t="s">
        <v>16</v>
      </c>
      <c r="C249" s="185">
        <f>C228</f>
        <v>1</v>
      </c>
      <c r="D249" s="185">
        <v>2012</v>
      </c>
      <c r="E249" s="185">
        <f>E228</f>
        <v>2015</v>
      </c>
      <c r="F249" s="185">
        <v>2017</v>
      </c>
      <c r="G249" s="185">
        <f>G228</f>
        <v>2020</v>
      </c>
      <c r="H249" s="185">
        <f>H228</f>
        <v>2030</v>
      </c>
      <c r="I249" s="185">
        <f t="shared" ref="I249:J249" si="628">I228</f>
        <v>2040</v>
      </c>
      <c r="J249" s="185">
        <f t="shared" si="628"/>
        <v>2050</v>
      </c>
      <c r="K249" s="185">
        <f>J228</f>
        <v>2050</v>
      </c>
      <c r="L249" s="114">
        <f>MATCH(J$259,$D$249:$K$249,$C249)</f>
        <v>1</v>
      </c>
      <c r="M249" s="191">
        <f t="shared" ref="M249:V250" si="629">MATCH(K$232,$D$228:$J$228,$C249)</f>
        <v>1</v>
      </c>
      <c r="N249" s="191">
        <f t="shared" si="629"/>
        <v>1</v>
      </c>
      <c r="O249" s="191">
        <f t="shared" si="629"/>
        <v>2</v>
      </c>
      <c r="P249" s="191">
        <f t="shared" si="629"/>
        <v>2</v>
      </c>
      <c r="Q249" s="191">
        <f t="shared" si="629"/>
        <v>3</v>
      </c>
      <c r="R249" s="191">
        <f t="shared" si="629"/>
        <v>3</v>
      </c>
      <c r="S249" s="191">
        <f t="shared" si="629"/>
        <v>3</v>
      </c>
      <c r="T249" s="191">
        <f t="shared" si="629"/>
        <v>4</v>
      </c>
      <c r="U249" s="191">
        <f t="shared" si="629"/>
        <v>4</v>
      </c>
      <c r="V249" s="191">
        <f t="shared" si="629"/>
        <v>4</v>
      </c>
      <c r="W249" s="191">
        <f t="shared" ref="W249:AF250" si="630">MATCH(U$232,$D$228:$J$228,$C249)</f>
        <v>4</v>
      </c>
      <c r="X249" s="191">
        <f t="shared" si="630"/>
        <v>4</v>
      </c>
      <c r="Y249" s="191">
        <f t="shared" si="630"/>
        <v>4</v>
      </c>
      <c r="Z249" s="191">
        <f t="shared" si="630"/>
        <v>4</v>
      </c>
      <c r="AA249" s="191">
        <f t="shared" si="630"/>
        <v>4</v>
      </c>
      <c r="AB249" s="191">
        <f t="shared" si="630"/>
        <v>4</v>
      </c>
      <c r="AC249" s="191">
        <f t="shared" si="630"/>
        <v>4</v>
      </c>
      <c r="AD249" s="191">
        <f t="shared" si="630"/>
        <v>5</v>
      </c>
      <c r="AE249" s="191">
        <f t="shared" si="630"/>
        <v>5</v>
      </c>
      <c r="AF249" s="191">
        <f t="shared" si="630"/>
        <v>5</v>
      </c>
      <c r="AG249" s="191">
        <f t="shared" ref="AG249:AP250" si="631">MATCH(AE$232,$D$228:$J$228,$C249)</f>
        <v>5</v>
      </c>
      <c r="AH249" s="191">
        <f t="shared" si="631"/>
        <v>5</v>
      </c>
      <c r="AI249" s="191">
        <f t="shared" si="631"/>
        <v>5</v>
      </c>
      <c r="AJ249" s="191">
        <f t="shared" si="631"/>
        <v>5</v>
      </c>
      <c r="AK249" s="191">
        <f t="shared" si="631"/>
        <v>5</v>
      </c>
      <c r="AL249" s="191">
        <f t="shared" si="631"/>
        <v>5</v>
      </c>
      <c r="AM249" s="191">
        <f t="shared" si="631"/>
        <v>5</v>
      </c>
      <c r="AN249" s="191">
        <f t="shared" si="631"/>
        <v>6</v>
      </c>
      <c r="AO249" s="191">
        <f t="shared" si="631"/>
        <v>6</v>
      </c>
      <c r="AP249" s="191">
        <f t="shared" si="631"/>
        <v>6</v>
      </c>
      <c r="AQ249" s="191">
        <f t="shared" ref="AQ249:AR250" si="632">MATCH(AO$232,$D$228:$J$228,$C249)</f>
        <v>6</v>
      </c>
      <c r="AR249" s="191">
        <f t="shared" si="632"/>
        <v>6</v>
      </c>
      <c r="AS249" s="191">
        <f t="shared" ref="AS249:BF250" si="633">MATCH(AQ$259,$D$228:$J$228,$C249)</f>
        <v>6</v>
      </c>
      <c r="AT249" s="191">
        <f t="shared" si="633"/>
        <v>6</v>
      </c>
      <c r="AU249" s="191">
        <f t="shared" si="633"/>
        <v>6</v>
      </c>
      <c r="AV249" s="191">
        <f t="shared" si="633"/>
        <v>6</v>
      </c>
      <c r="AW249" s="191">
        <f t="shared" si="633"/>
        <v>6</v>
      </c>
      <c r="AX249" s="191">
        <f t="shared" si="633"/>
        <v>7</v>
      </c>
      <c r="AY249" s="191">
        <f t="shared" si="633"/>
        <v>7</v>
      </c>
      <c r="AZ249" s="191">
        <f t="shared" si="633"/>
        <v>7</v>
      </c>
      <c r="BA249" s="191">
        <f t="shared" si="633"/>
        <v>7</v>
      </c>
      <c r="BB249" s="191">
        <f t="shared" si="633"/>
        <v>7</v>
      </c>
      <c r="BC249" s="191">
        <f t="shared" si="633"/>
        <v>7</v>
      </c>
      <c r="BD249" s="191">
        <f t="shared" si="633"/>
        <v>7</v>
      </c>
      <c r="BE249" s="191">
        <f t="shared" si="633"/>
        <v>7</v>
      </c>
      <c r="BF249" s="191">
        <f t="shared" si="633"/>
        <v>7</v>
      </c>
    </row>
    <row r="250" spans="1:58">
      <c r="A250" s="185" t="s">
        <v>16</v>
      </c>
      <c r="C250" s="185">
        <f>C229</f>
        <v>0</v>
      </c>
      <c r="D250" s="185">
        <f t="shared" ref="D250:J251" si="634">D229</f>
        <v>2050</v>
      </c>
      <c r="E250" s="185">
        <f t="shared" si="634"/>
        <v>2040</v>
      </c>
      <c r="F250" s="185">
        <f t="shared" si="634"/>
        <v>2030</v>
      </c>
      <c r="G250" s="185">
        <f t="shared" si="634"/>
        <v>2020</v>
      </c>
      <c r="H250" s="185">
        <f t="shared" si="634"/>
        <v>2017</v>
      </c>
      <c r="I250" s="185">
        <f t="shared" si="634"/>
        <v>2015</v>
      </c>
      <c r="J250" s="185">
        <f t="shared" si="634"/>
        <v>2006</v>
      </c>
      <c r="K250" s="185">
        <v>2012</v>
      </c>
      <c r="L250" s="40">
        <f>MATCH(J$259,$D$249:$K$249,$C250)</f>
        <v>1</v>
      </c>
      <c r="M250" s="185" t="e">
        <f t="shared" si="629"/>
        <v>#N/A</v>
      </c>
      <c r="N250" s="185" t="e">
        <f t="shared" si="629"/>
        <v>#N/A</v>
      </c>
      <c r="O250" s="185">
        <f t="shared" si="629"/>
        <v>2</v>
      </c>
      <c r="P250" s="185" t="e">
        <f t="shared" si="629"/>
        <v>#N/A</v>
      </c>
      <c r="Q250" s="185">
        <f t="shared" si="629"/>
        <v>3</v>
      </c>
      <c r="R250" s="185" t="e">
        <f t="shared" si="629"/>
        <v>#N/A</v>
      </c>
      <c r="S250" s="185" t="e">
        <f t="shared" si="629"/>
        <v>#N/A</v>
      </c>
      <c r="T250" s="185">
        <f t="shared" si="629"/>
        <v>4</v>
      </c>
      <c r="U250" s="185" t="e">
        <f t="shared" si="629"/>
        <v>#N/A</v>
      </c>
      <c r="V250" s="185" t="e">
        <f t="shared" si="629"/>
        <v>#N/A</v>
      </c>
      <c r="W250" s="185" t="e">
        <f t="shared" si="630"/>
        <v>#N/A</v>
      </c>
      <c r="X250" s="185" t="e">
        <f t="shared" si="630"/>
        <v>#N/A</v>
      </c>
      <c r="Y250" s="185" t="e">
        <f t="shared" si="630"/>
        <v>#N/A</v>
      </c>
      <c r="Z250" s="185" t="e">
        <f t="shared" si="630"/>
        <v>#N/A</v>
      </c>
      <c r="AA250" s="185" t="e">
        <f t="shared" si="630"/>
        <v>#N/A</v>
      </c>
      <c r="AB250" s="185" t="e">
        <f t="shared" si="630"/>
        <v>#N/A</v>
      </c>
      <c r="AC250" s="185" t="e">
        <f t="shared" si="630"/>
        <v>#N/A</v>
      </c>
      <c r="AD250" s="185">
        <f t="shared" si="630"/>
        <v>5</v>
      </c>
      <c r="AE250" s="185" t="e">
        <f t="shared" si="630"/>
        <v>#N/A</v>
      </c>
      <c r="AF250" s="185" t="e">
        <f t="shared" si="630"/>
        <v>#N/A</v>
      </c>
      <c r="AG250" s="185" t="e">
        <f t="shared" si="631"/>
        <v>#N/A</v>
      </c>
      <c r="AH250" s="185" t="e">
        <f t="shared" si="631"/>
        <v>#N/A</v>
      </c>
      <c r="AI250" s="185" t="e">
        <f t="shared" si="631"/>
        <v>#N/A</v>
      </c>
      <c r="AJ250" s="185" t="e">
        <f t="shared" si="631"/>
        <v>#N/A</v>
      </c>
      <c r="AK250" s="185" t="e">
        <f t="shared" si="631"/>
        <v>#N/A</v>
      </c>
      <c r="AL250" s="185" t="e">
        <f t="shared" si="631"/>
        <v>#N/A</v>
      </c>
      <c r="AM250" s="185" t="e">
        <f t="shared" si="631"/>
        <v>#N/A</v>
      </c>
      <c r="AN250" s="185">
        <f t="shared" si="631"/>
        <v>6</v>
      </c>
      <c r="AO250" s="185" t="e">
        <f t="shared" si="631"/>
        <v>#N/A</v>
      </c>
      <c r="AP250" s="185" t="e">
        <f t="shared" si="631"/>
        <v>#N/A</v>
      </c>
      <c r="AQ250" s="185" t="e">
        <f t="shared" si="632"/>
        <v>#N/A</v>
      </c>
      <c r="AR250" s="185" t="e">
        <f t="shared" si="632"/>
        <v>#N/A</v>
      </c>
      <c r="AS250" s="185" t="e">
        <f t="shared" si="633"/>
        <v>#N/A</v>
      </c>
      <c r="AT250" s="185" t="e">
        <f t="shared" si="633"/>
        <v>#N/A</v>
      </c>
      <c r="AU250" s="185" t="e">
        <f t="shared" si="633"/>
        <v>#N/A</v>
      </c>
      <c r="AV250" s="185" t="e">
        <f t="shared" si="633"/>
        <v>#N/A</v>
      </c>
      <c r="AW250" s="185" t="e">
        <f t="shared" si="633"/>
        <v>#N/A</v>
      </c>
      <c r="AX250" s="185">
        <f t="shared" si="633"/>
        <v>7</v>
      </c>
      <c r="AY250" s="185" t="e">
        <f t="shared" si="633"/>
        <v>#N/A</v>
      </c>
      <c r="AZ250" s="185" t="e">
        <f t="shared" si="633"/>
        <v>#N/A</v>
      </c>
      <c r="BA250" s="185" t="e">
        <f t="shared" si="633"/>
        <v>#N/A</v>
      </c>
      <c r="BB250" s="185" t="e">
        <f t="shared" si="633"/>
        <v>#N/A</v>
      </c>
      <c r="BC250" s="185" t="e">
        <f t="shared" si="633"/>
        <v>#N/A</v>
      </c>
      <c r="BD250" s="185" t="e">
        <f t="shared" si="633"/>
        <v>#N/A</v>
      </c>
      <c r="BE250" s="185" t="e">
        <f t="shared" si="633"/>
        <v>#N/A</v>
      </c>
      <c r="BF250" s="185" t="e">
        <f t="shared" si="633"/>
        <v>#N/A</v>
      </c>
    </row>
    <row r="251" spans="1:58">
      <c r="A251" s="185" t="s">
        <v>16</v>
      </c>
      <c r="C251" s="185">
        <f>C230</f>
        <v>-1</v>
      </c>
      <c r="D251" s="185">
        <f t="shared" si="634"/>
        <v>0</v>
      </c>
      <c r="E251" s="185">
        <f t="shared" si="634"/>
        <v>1</v>
      </c>
      <c r="F251" s="185">
        <v>2</v>
      </c>
      <c r="G251" s="185">
        <v>3</v>
      </c>
      <c r="H251" s="185">
        <v>4</v>
      </c>
      <c r="I251" s="185">
        <v>5</v>
      </c>
      <c r="J251" s="185">
        <v>6</v>
      </c>
      <c r="K251" s="185">
        <v>7</v>
      </c>
      <c r="L251" s="185">
        <f>MATCH(J$259,$D$250:$K$250,$C251)</f>
        <v>6</v>
      </c>
      <c r="M251" s="185">
        <f t="shared" ref="M251:AR251" si="635">MATCH(K$232,$D$229:$J$229,$C251)</f>
        <v>6</v>
      </c>
      <c r="N251" s="185">
        <f t="shared" si="635"/>
        <v>6</v>
      </c>
      <c r="O251" s="185">
        <f t="shared" si="635"/>
        <v>6</v>
      </c>
      <c r="P251" s="185">
        <f t="shared" si="635"/>
        <v>5</v>
      </c>
      <c r="Q251" s="185">
        <f t="shared" si="635"/>
        <v>5</v>
      </c>
      <c r="R251" s="185">
        <f t="shared" si="635"/>
        <v>4</v>
      </c>
      <c r="S251" s="185">
        <f t="shared" si="635"/>
        <v>4</v>
      </c>
      <c r="T251" s="185">
        <f t="shared" si="635"/>
        <v>4</v>
      </c>
      <c r="U251" s="185">
        <f t="shared" si="635"/>
        <v>3</v>
      </c>
      <c r="V251" s="185">
        <f t="shared" si="635"/>
        <v>3</v>
      </c>
      <c r="W251" s="185">
        <f t="shared" si="635"/>
        <v>3</v>
      </c>
      <c r="X251" s="185">
        <f t="shared" si="635"/>
        <v>3</v>
      </c>
      <c r="Y251" s="185">
        <f t="shared" si="635"/>
        <v>3</v>
      </c>
      <c r="Z251" s="185">
        <f t="shared" si="635"/>
        <v>3</v>
      </c>
      <c r="AA251" s="185">
        <f t="shared" si="635"/>
        <v>3</v>
      </c>
      <c r="AB251" s="185">
        <f t="shared" si="635"/>
        <v>3</v>
      </c>
      <c r="AC251" s="185">
        <f t="shared" si="635"/>
        <v>3</v>
      </c>
      <c r="AD251" s="185">
        <f t="shared" si="635"/>
        <v>3</v>
      </c>
      <c r="AE251" s="185">
        <f t="shared" si="635"/>
        <v>2</v>
      </c>
      <c r="AF251" s="185">
        <f t="shared" si="635"/>
        <v>2</v>
      </c>
      <c r="AG251" s="185">
        <f t="shared" si="635"/>
        <v>2</v>
      </c>
      <c r="AH251" s="185">
        <f t="shared" si="635"/>
        <v>2</v>
      </c>
      <c r="AI251" s="185">
        <f t="shared" si="635"/>
        <v>2</v>
      </c>
      <c r="AJ251" s="185">
        <f t="shared" si="635"/>
        <v>2</v>
      </c>
      <c r="AK251" s="185">
        <f t="shared" si="635"/>
        <v>2</v>
      </c>
      <c r="AL251" s="185">
        <f t="shared" si="635"/>
        <v>2</v>
      </c>
      <c r="AM251" s="185">
        <f t="shared" si="635"/>
        <v>2</v>
      </c>
      <c r="AN251" s="185">
        <f t="shared" si="635"/>
        <v>2</v>
      </c>
      <c r="AO251" s="185">
        <f t="shared" si="635"/>
        <v>1</v>
      </c>
      <c r="AP251" s="185">
        <f t="shared" si="635"/>
        <v>1</v>
      </c>
      <c r="AQ251" s="185">
        <f t="shared" si="635"/>
        <v>1</v>
      </c>
      <c r="AR251" s="185">
        <f t="shared" si="635"/>
        <v>1</v>
      </c>
      <c r="AS251" s="185">
        <f t="shared" ref="AS251:BF251" si="636">MATCH(AQ$259,$D$229:$J$229,$C251)</f>
        <v>1</v>
      </c>
      <c r="AT251" s="185">
        <f t="shared" si="636"/>
        <v>1</v>
      </c>
      <c r="AU251" s="185">
        <f t="shared" si="636"/>
        <v>1</v>
      </c>
      <c r="AV251" s="185">
        <f t="shared" si="636"/>
        <v>1</v>
      </c>
      <c r="AW251" s="185">
        <f t="shared" si="636"/>
        <v>1</v>
      </c>
      <c r="AX251" s="185">
        <f t="shared" si="636"/>
        <v>1</v>
      </c>
      <c r="AY251" s="185" t="e">
        <f t="shared" si="636"/>
        <v>#N/A</v>
      </c>
      <c r="AZ251" s="185" t="e">
        <f t="shared" si="636"/>
        <v>#N/A</v>
      </c>
      <c r="BA251" s="185" t="e">
        <f t="shared" si="636"/>
        <v>#N/A</v>
      </c>
      <c r="BB251" s="185" t="e">
        <f t="shared" si="636"/>
        <v>#N/A</v>
      </c>
      <c r="BC251" s="185" t="e">
        <f t="shared" si="636"/>
        <v>#N/A</v>
      </c>
      <c r="BD251" s="185" t="e">
        <f t="shared" si="636"/>
        <v>#N/A</v>
      </c>
      <c r="BE251" s="185" t="e">
        <f t="shared" si="636"/>
        <v>#N/A</v>
      </c>
      <c r="BF251" s="185" t="e">
        <f t="shared" si="636"/>
        <v>#N/A</v>
      </c>
    </row>
    <row r="252" spans="1:58">
      <c r="A252" s="185" t="s">
        <v>16</v>
      </c>
      <c r="L252" s="189">
        <f>IF(ISNA(L249),-1,IF(ISNA(L251),99,IF(ISNA(L250),L249,0)))</f>
        <v>0</v>
      </c>
      <c r="M252" s="189">
        <f>IF(ISNA(M249),-1,IF(ISNA(M251),99,IF(ISNA(M250),M249,0)))</f>
        <v>1</v>
      </c>
      <c r="N252" s="189">
        <f t="shared" ref="N252:BF252" si="637">IF(ISNA(N249),-1,IF(ISNA(N251),99,IF(ISNA(N250),N249,0)))</f>
        <v>1</v>
      </c>
      <c r="O252" s="189">
        <f t="shared" si="637"/>
        <v>0</v>
      </c>
      <c r="P252" s="189">
        <f t="shared" si="637"/>
        <v>2</v>
      </c>
      <c r="Q252" s="189">
        <f t="shared" si="637"/>
        <v>0</v>
      </c>
      <c r="R252" s="189">
        <f t="shared" si="637"/>
        <v>3</v>
      </c>
      <c r="S252" s="189">
        <f t="shared" si="637"/>
        <v>3</v>
      </c>
      <c r="T252" s="189">
        <f t="shared" si="637"/>
        <v>0</v>
      </c>
      <c r="U252" s="189">
        <f t="shared" si="637"/>
        <v>4</v>
      </c>
      <c r="V252" s="189">
        <f t="shared" si="637"/>
        <v>4</v>
      </c>
      <c r="W252" s="189">
        <f t="shared" si="637"/>
        <v>4</v>
      </c>
      <c r="X252" s="189">
        <f t="shared" si="637"/>
        <v>4</v>
      </c>
      <c r="Y252" s="189">
        <f t="shared" si="637"/>
        <v>4</v>
      </c>
      <c r="Z252" s="189">
        <f t="shared" si="637"/>
        <v>4</v>
      </c>
      <c r="AA252" s="189">
        <f t="shared" si="637"/>
        <v>4</v>
      </c>
      <c r="AB252" s="189">
        <f t="shared" si="637"/>
        <v>4</v>
      </c>
      <c r="AC252" s="189">
        <f t="shared" si="637"/>
        <v>4</v>
      </c>
      <c r="AD252" s="189">
        <f t="shared" si="637"/>
        <v>0</v>
      </c>
      <c r="AE252" s="189">
        <f t="shared" si="637"/>
        <v>5</v>
      </c>
      <c r="AF252" s="189">
        <f t="shared" si="637"/>
        <v>5</v>
      </c>
      <c r="AG252" s="189">
        <f t="shared" si="637"/>
        <v>5</v>
      </c>
      <c r="AH252" s="189">
        <f t="shared" si="637"/>
        <v>5</v>
      </c>
      <c r="AI252" s="189">
        <f t="shared" si="637"/>
        <v>5</v>
      </c>
      <c r="AJ252" s="189">
        <f t="shared" si="637"/>
        <v>5</v>
      </c>
      <c r="AK252" s="189">
        <f t="shared" si="637"/>
        <v>5</v>
      </c>
      <c r="AL252" s="189">
        <f t="shared" si="637"/>
        <v>5</v>
      </c>
      <c r="AM252" s="189">
        <f t="shared" si="637"/>
        <v>5</v>
      </c>
      <c r="AN252" s="189">
        <f t="shared" si="637"/>
        <v>0</v>
      </c>
      <c r="AO252" s="189">
        <f t="shared" si="637"/>
        <v>6</v>
      </c>
      <c r="AP252" s="189">
        <f t="shared" si="637"/>
        <v>6</v>
      </c>
      <c r="AQ252" s="189">
        <f t="shared" si="637"/>
        <v>6</v>
      </c>
      <c r="AR252" s="189">
        <f t="shared" si="637"/>
        <v>6</v>
      </c>
      <c r="AS252" s="189">
        <f t="shared" si="637"/>
        <v>6</v>
      </c>
      <c r="AT252" s="189">
        <f t="shared" si="637"/>
        <v>6</v>
      </c>
      <c r="AU252" s="189">
        <f t="shared" si="637"/>
        <v>6</v>
      </c>
      <c r="AV252" s="189">
        <f t="shared" si="637"/>
        <v>6</v>
      </c>
      <c r="AW252" s="189">
        <f t="shared" si="637"/>
        <v>6</v>
      </c>
      <c r="AX252" s="189">
        <f t="shared" si="637"/>
        <v>0</v>
      </c>
      <c r="AY252" s="189">
        <f t="shared" si="637"/>
        <v>99</v>
      </c>
      <c r="AZ252" s="189">
        <f t="shared" si="637"/>
        <v>99</v>
      </c>
      <c r="BA252" s="189">
        <f t="shared" si="637"/>
        <v>99</v>
      </c>
      <c r="BB252" s="189">
        <f t="shared" si="637"/>
        <v>99</v>
      </c>
      <c r="BC252" s="189">
        <f t="shared" si="637"/>
        <v>99</v>
      </c>
      <c r="BD252" s="189">
        <f t="shared" si="637"/>
        <v>99</v>
      </c>
      <c r="BE252" s="189">
        <f t="shared" si="637"/>
        <v>99</v>
      </c>
      <c r="BF252" s="189">
        <f t="shared" si="637"/>
        <v>99</v>
      </c>
    </row>
    <row r="253" spans="1:58">
      <c r="A253" s="185" t="s">
        <v>16</v>
      </c>
      <c r="B253" s="185" t="s">
        <v>275</v>
      </c>
      <c r="C253" s="186" t="s">
        <v>440</v>
      </c>
      <c r="D253" s="109">
        <f>E107/E$111</f>
        <v>1.1168320336678089E-2</v>
      </c>
      <c r="E253" s="109">
        <f>F107/F$111</f>
        <v>1.0290396474364307E-2</v>
      </c>
      <c r="F253" s="109"/>
      <c r="G253" s="109">
        <f>I107/I$111</f>
        <v>1.0477149554046435E-2</v>
      </c>
      <c r="H253" s="109">
        <f>K107/K$111</f>
        <v>8.0727183826067306E-3</v>
      </c>
      <c r="I253" s="109">
        <f>L107/L$111</f>
        <v>5.2566845578108411E-3</v>
      </c>
      <c r="J253" s="109">
        <f>M107/M$111</f>
        <v>3.3977926634923875E-3</v>
      </c>
      <c r="K253" s="109">
        <f>M107/M$111</f>
        <v>3.3977926634923875E-3</v>
      </c>
      <c r="L253" s="185"/>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row>
    <row r="254" spans="1:58">
      <c r="A254" s="185" t="s">
        <v>16</v>
      </c>
      <c r="B254" s="185" t="s">
        <v>276</v>
      </c>
      <c r="C254" s="186" t="s">
        <v>440</v>
      </c>
      <c r="D254" s="109">
        <f>E108/E$111</f>
        <v>0.37176231554491912</v>
      </c>
      <c r="E254" s="109">
        <f>F108/F$111</f>
        <v>0.3595075461635161</v>
      </c>
      <c r="F254" s="109"/>
      <c r="G254" s="109">
        <f>I108/I$111</f>
        <v>0.39702174827960074</v>
      </c>
      <c r="H254" s="109">
        <f>K108/K$111</f>
        <v>0.34448473088449083</v>
      </c>
      <c r="I254" s="109">
        <f>L108/L$111</f>
        <v>0.29999827634118842</v>
      </c>
      <c r="J254" s="109">
        <f>M108/M$111</f>
        <v>0.26286654907486323</v>
      </c>
      <c r="K254" s="109">
        <f>M108/M$111</f>
        <v>0.26286654907486323</v>
      </c>
      <c r="L254" s="185"/>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row>
    <row r="255" spans="1:58">
      <c r="A255" s="185" t="s">
        <v>16</v>
      </c>
      <c r="B255" s="185" t="s">
        <v>277</v>
      </c>
      <c r="C255" s="186" t="s">
        <v>440</v>
      </c>
      <c r="D255" s="109">
        <f>E109/E$111</f>
        <v>0.55266700066342722</v>
      </c>
      <c r="E255" s="109">
        <f>F109/F$111</f>
        <v>0.56952872129371868</v>
      </c>
      <c r="F255" s="109"/>
      <c r="G255" s="109">
        <f>I109/I$111</f>
        <v>0.53573398694096586</v>
      </c>
      <c r="H255" s="109">
        <f>K109/K$111</f>
        <v>0.598312829356626</v>
      </c>
      <c r="I255" s="109">
        <f>L109/L$111</f>
        <v>0.65161615369278869</v>
      </c>
      <c r="J255" s="109">
        <f>M109/M$111</f>
        <v>0.69316608010289538</v>
      </c>
      <c r="K255" s="109">
        <f>M109/M$111</f>
        <v>0.69316608010289538</v>
      </c>
      <c r="L255" s="185"/>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row>
    <row r="256" spans="1:58">
      <c r="A256" s="185" t="s">
        <v>16</v>
      </c>
      <c r="B256" s="185" t="str">
        <f>B253</f>
        <v>hhd-le</v>
      </c>
      <c r="C256" s="186" t="s">
        <v>439</v>
      </c>
      <c r="D256" s="109">
        <f t="shared" ref="D256:E256" si="638">SUM(E115:E117)/SUM(E$127:E$129)</f>
        <v>0.63107153379742353</v>
      </c>
      <c r="E256" s="109">
        <f t="shared" si="638"/>
        <v>0.61434308430549067</v>
      </c>
      <c r="F256" s="109"/>
      <c r="G256" s="109">
        <f>SUM(I115:I117)/SUM(I$127:I$129)</f>
        <v>0.60012287030350875</v>
      </c>
      <c r="H256" s="109">
        <f>SUM(K115:K117)/SUM(K$127:K$129)</f>
        <v>0.55725808475868577</v>
      </c>
      <c r="I256" s="109">
        <f>SUM(L115:L117)/SUM(L$127:L$129)</f>
        <v>0.47963763868136328</v>
      </c>
      <c r="J256" s="109">
        <f>SUM(M115:M117)/SUM(M$127:M$129)</f>
        <v>0.40489661727330289</v>
      </c>
      <c r="K256" s="109">
        <f>SUM(M115:M117)/SUM(M$127:M$129)</f>
        <v>0.40489661727330289</v>
      </c>
      <c r="L256" s="185"/>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row>
    <row r="257" spans="1:56">
      <c r="A257" s="185" t="s">
        <v>16</v>
      </c>
      <c r="B257" s="185" t="str">
        <f>B254</f>
        <v>hhd-me</v>
      </c>
      <c r="C257" s="186" t="s">
        <v>439</v>
      </c>
      <c r="D257" s="109">
        <f t="shared" ref="D257:E257" si="639">SUM(E119:E121)/SUM(E$127:E$129)</f>
        <v>0.27372599606642106</v>
      </c>
      <c r="E257" s="109">
        <f t="shared" si="639"/>
        <v>0.28098494681565778</v>
      </c>
      <c r="F257" s="109"/>
      <c r="G257" s="109">
        <f>SUM(I119:I121)/SUM(I$127:I$129)</f>
        <v>0.29744270876471846</v>
      </c>
      <c r="H257" s="109">
        <f>SUM(K119:K121)/SUM(K$127:K$129)</f>
        <v>0.31381788961900769</v>
      </c>
      <c r="I257" s="109">
        <f>SUM(L119:L121)/SUM(L$127:L$129)</f>
        <v>0.36506786033115035</v>
      </c>
      <c r="J257" s="109">
        <f>SUM(M119:M121)/SUM(M$127:M$129)</f>
        <v>0.42190661447453492</v>
      </c>
      <c r="K257" s="109">
        <f>SUM(M119:M121)/SUM(M$127:M$129)</f>
        <v>0.42190661447453492</v>
      </c>
      <c r="L257" s="185"/>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row>
    <row r="258" spans="1:56">
      <c r="A258" s="185" t="s">
        <v>16</v>
      </c>
      <c r="B258" s="185" t="str">
        <f>B255</f>
        <v>hhd-he</v>
      </c>
      <c r="C258" s="186" t="s">
        <v>439</v>
      </c>
      <c r="D258" s="109">
        <f t="shared" ref="D258:E258" si="640">SUM(E123:E125)/SUM(E$127:E$129)</f>
        <v>9.5202470136155223E-2</v>
      </c>
      <c r="E258" s="109">
        <f t="shared" si="640"/>
        <v>0.10467196887885141</v>
      </c>
      <c r="F258" s="109"/>
      <c r="G258" s="109">
        <f>SUM(I123:I125)/SUM(I$127:I$129)</f>
        <v>0.1024344209317728</v>
      </c>
      <c r="H258" s="109">
        <f>SUM(K123:K125)/SUM(K$127:K$129)</f>
        <v>0.12892402562230665</v>
      </c>
      <c r="I258" s="109">
        <f>SUM(L123:L125)/SUM(L$127:L$129)</f>
        <v>0.15529450098748634</v>
      </c>
      <c r="J258" s="109">
        <f>SUM(M123:M125)/SUM(M$127:M$129)</f>
        <v>0.17319676825216232</v>
      </c>
      <c r="K258" s="109">
        <f>SUM(M123:M125)/SUM(M$127:M$129)</f>
        <v>0.17319676825216232</v>
      </c>
      <c r="L258" s="185"/>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row>
    <row r="259" spans="1:56">
      <c r="A259" s="185" t="s">
        <v>16</v>
      </c>
      <c r="G259" s="5" t="s">
        <v>438</v>
      </c>
      <c r="J259" s="185">
        <f t="shared" ref="J259:AR259" si="641">J232</f>
        <v>2012</v>
      </c>
      <c r="K259" s="185">
        <f t="shared" si="641"/>
        <v>2013</v>
      </c>
      <c r="L259" s="185">
        <f t="shared" si="641"/>
        <v>2014</v>
      </c>
      <c r="M259" s="185">
        <f t="shared" si="641"/>
        <v>2015</v>
      </c>
      <c r="N259" s="185">
        <f t="shared" si="641"/>
        <v>2016</v>
      </c>
      <c r="O259" s="185">
        <f t="shared" si="641"/>
        <v>2017</v>
      </c>
      <c r="P259" s="185">
        <f t="shared" si="641"/>
        <v>2018</v>
      </c>
      <c r="Q259" s="185">
        <f t="shared" si="641"/>
        <v>2019</v>
      </c>
      <c r="R259" s="185">
        <f t="shared" si="641"/>
        <v>2020</v>
      </c>
      <c r="S259" s="185">
        <f t="shared" si="641"/>
        <v>2021</v>
      </c>
      <c r="T259" s="185">
        <f t="shared" si="641"/>
        <v>2022</v>
      </c>
      <c r="U259" s="185">
        <f t="shared" si="641"/>
        <v>2023</v>
      </c>
      <c r="V259" s="185">
        <f t="shared" si="641"/>
        <v>2024</v>
      </c>
      <c r="W259" s="185">
        <f t="shared" si="641"/>
        <v>2025</v>
      </c>
      <c r="X259" s="185">
        <f t="shared" si="641"/>
        <v>2026</v>
      </c>
      <c r="Y259" s="185">
        <f t="shared" si="641"/>
        <v>2027</v>
      </c>
      <c r="Z259" s="185">
        <f t="shared" si="641"/>
        <v>2028</v>
      </c>
      <c r="AA259" s="185">
        <f t="shared" si="641"/>
        <v>2029</v>
      </c>
      <c r="AB259" s="185">
        <f t="shared" si="641"/>
        <v>2030</v>
      </c>
      <c r="AC259" s="185">
        <f t="shared" si="641"/>
        <v>2031</v>
      </c>
      <c r="AD259" s="185">
        <f t="shared" si="641"/>
        <v>2032</v>
      </c>
      <c r="AE259" s="185">
        <f t="shared" si="641"/>
        <v>2033</v>
      </c>
      <c r="AF259" s="185">
        <f t="shared" si="641"/>
        <v>2034</v>
      </c>
      <c r="AG259" s="185">
        <f t="shared" si="641"/>
        <v>2035</v>
      </c>
      <c r="AH259" s="185">
        <f t="shared" si="641"/>
        <v>2036</v>
      </c>
      <c r="AI259" s="185">
        <f t="shared" si="641"/>
        <v>2037</v>
      </c>
      <c r="AJ259" s="185">
        <f t="shared" si="641"/>
        <v>2038</v>
      </c>
      <c r="AK259" s="185">
        <f t="shared" si="641"/>
        <v>2039</v>
      </c>
      <c r="AL259" s="185">
        <f t="shared" si="641"/>
        <v>2040</v>
      </c>
      <c r="AM259" s="185">
        <f t="shared" si="641"/>
        <v>2041</v>
      </c>
      <c r="AN259" s="185">
        <f t="shared" si="641"/>
        <v>2042</v>
      </c>
      <c r="AO259" s="185">
        <f t="shared" si="641"/>
        <v>2043</v>
      </c>
      <c r="AP259" s="185">
        <f t="shared" si="641"/>
        <v>2044</v>
      </c>
      <c r="AQ259" s="185">
        <f t="shared" si="641"/>
        <v>2045</v>
      </c>
      <c r="AR259" s="185">
        <f t="shared" si="641"/>
        <v>2046</v>
      </c>
      <c r="AS259" s="185">
        <f>AR259+1</f>
        <v>2047</v>
      </c>
      <c r="AT259" s="185">
        <f t="shared" ref="AT259:BB259" si="642">AS259+1</f>
        <v>2048</v>
      </c>
      <c r="AU259" s="185">
        <f t="shared" si="642"/>
        <v>2049</v>
      </c>
      <c r="AV259" s="185">
        <f t="shared" si="642"/>
        <v>2050</v>
      </c>
      <c r="AW259" s="185">
        <f t="shared" si="642"/>
        <v>2051</v>
      </c>
      <c r="AX259" s="185">
        <f t="shared" si="642"/>
        <v>2052</v>
      </c>
      <c r="AY259" s="185">
        <f t="shared" si="642"/>
        <v>2053</v>
      </c>
      <c r="AZ259" s="185">
        <f t="shared" si="642"/>
        <v>2054</v>
      </c>
      <c r="BA259" s="185">
        <f t="shared" si="642"/>
        <v>2055</v>
      </c>
      <c r="BB259" s="185">
        <f t="shared" si="642"/>
        <v>2056</v>
      </c>
      <c r="BC259" s="185">
        <v>2060</v>
      </c>
      <c r="BD259" s="185">
        <v>2070</v>
      </c>
    </row>
    <row r="260" spans="1:56">
      <c r="A260" s="185" t="s">
        <v>16</v>
      </c>
      <c r="E260" s="185" t="s">
        <v>441</v>
      </c>
      <c r="F260" s="185" t="s">
        <v>441</v>
      </c>
      <c r="G260" s="185" t="s">
        <v>435</v>
      </c>
      <c r="H260" s="186" t="s">
        <v>440</v>
      </c>
      <c r="I260" s="185" t="s">
        <v>275</v>
      </c>
      <c r="J260" s="186">
        <f t="shared" ref="J260:J265" si="643">D253</f>
        <v>1.1168320336678089E-2</v>
      </c>
      <c r="K260" s="186">
        <f t="shared" ref="K260:T265" si="644">IF(M$252=-1,L260,IF(M$252=99,J260,IF(M$252=0,INDEX($D253:$K253,0,M$250),(INDEX($D253:$K253,0,M$252+1)-INDEX($D253:$K253,0,M$252))/(INDEX($D$249:$K$249,0,M$252+1)-INDEX($D$249:$K$249,0,M$252))+J260)))</f>
        <v>1.0875679049240162E-2</v>
      </c>
      <c r="L260" s="186">
        <f t="shared" si="644"/>
        <v>1.0583037761802234E-2</v>
      </c>
      <c r="M260" s="186">
        <f t="shared" si="644"/>
        <v>1.0290396474364307E-2</v>
      </c>
      <c r="N260" s="186">
        <f t="shared" si="644"/>
        <v>5.1451982371821534E-3</v>
      </c>
      <c r="O260" s="186">
        <f t="shared" si="644"/>
        <v>0</v>
      </c>
      <c r="P260" s="186">
        <f t="shared" si="644"/>
        <v>3.492383184682145E-3</v>
      </c>
      <c r="Q260" s="186">
        <f t="shared" si="644"/>
        <v>6.9847663693642899E-3</v>
      </c>
      <c r="R260" s="186">
        <f t="shared" si="644"/>
        <v>1.0477149554046435E-2</v>
      </c>
      <c r="S260" s="186">
        <f t="shared" si="644"/>
        <v>1.0236706436902466E-2</v>
      </c>
      <c r="T260" s="186">
        <f t="shared" si="644"/>
        <v>9.9962633197584957E-3</v>
      </c>
      <c r="U260" s="186">
        <f t="shared" ref="U260:AD265" si="645">IF(W$252=-1,V260,IF(W$252=99,T260,IF(W$252=0,INDEX($D253:$K253,0,W$250),(INDEX($D253:$K253,0,W$252+1)-INDEX($D253:$K253,0,W$252))/(INDEX($D$249:$K$249,0,W$252+1)-INDEX($D$249:$K$249,0,W$252))+T260)))</f>
        <v>9.755820202614526E-3</v>
      </c>
      <c r="V260" s="186">
        <f t="shared" si="645"/>
        <v>9.5153770854705562E-3</v>
      </c>
      <c r="W260" s="186">
        <f t="shared" si="645"/>
        <v>9.2749339683265864E-3</v>
      </c>
      <c r="X260" s="186">
        <f t="shared" si="645"/>
        <v>9.0344908511826166E-3</v>
      </c>
      <c r="Y260" s="186">
        <f t="shared" si="645"/>
        <v>8.7940477340386469E-3</v>
      </c>
      <c r="Z260" s="186">
        <f t="shared" si="645"/>
        <v>8.5536046168946771E-3</v>
      </c>
      <c r="AA260" s="186">
        <f t="shared" si="645"/>
        <v>8.3131614997507073E-3</v>
      </c>
      <c r="AB260" s="186">
        <f t="shared" si="645"/>
        <v>8.0727183826067306E-3</v>
      </c>
      <c r="AC260" s="186">
        <f t="shared" si="645"/>
        <v>7.7911150001271417E-3</v>
      </c>
      <c r="AD260" s="186">
        <f t="shared" si="645"/>
        <v>7.5095116176475529E-3</v>
      </c>
      <c r="AE260" s="186">
        <f t="shared" ref="AE260:AN265" si="646">IF(AG$252=-1,AF260,IF(AG$252=99,AD260,IF(AG$252=0,INDEX($D253:$K253,0,AG$250),(INDEX($D253:$K253,0,AG$252+1)-INDEX($D253:$K253,0,AG$252))/(INDEX($D$249:$K$249,0,AG$252+1)-INDEX($D$249:$K$249,0,AG$252))+AD260)))</f>
        <v>7.227908235167964E-3</v>
      </c>
      <c r="AF260" s="186">
        <f t="shared" si="646"/>
        <v>6.9463048526883751E-3</v>
      </c>
      <c r="AG260" s="186">
        <f t="shared" si="646"/>
        <v>6.6647014702087863E-3</v>
      </c>
      <c r="AH260" s="186">
        <f t="shared" si="646"/>
        <v>6.3830980877291974E-3</v>
      </c>
      <c r="AI260" s="186">
        <f t="shared" si="646"/>
        <v>6.1014947052496086E-3</v>
      </c>
      <c r="AJ260" s="186">
        <f t="shared" si="646"/>
        <v>5.8198913227700197E-3</v>
      </c>
      <c r="AK260" s="186">
        <f t="shared" si="646"/>
        <v>5.5382879402904308E-3</v>
      </c>
      <c r="AL260" s="186">
        <f t="shared" si="646"/>
        <v>5.2566845578108411E-3</v>
      </c>
      <c r="AM260" s="186">
        <f t="shared" si="646"/>
        <v>5.070795368378996E-3</v>
      </c>
      <c r="AN260" s="186">
        <f t="shared" si="646"/>
        <v>4.884906178947151E-3</v>
      </c>
      <c r="AO260" s="186">
        <f t="shared" ref="AO260:AQ265" si="647">IF(AQ$252=-1,AP260,IF(AQ$252=99,AN260,IF(AQ$252=0,INDEX($D253:$K253,0,AQ$250),(INDEX($D253:$K253,0,AQ$252+1)-INDEX($D253:$K253,0,AQ$252))/(INDEX($D$249:$K$249,0,AQ$252+1)-INDEX($D$249:$K$249,0,AQ$252))+AN260)))</f>
        <v>4.6990169895153059E-3</v>
      </c>
      <c r="AP260" s="186">
        <f t="shared" si="647"/>
        <v>4.5131278000834609E-3</v>
      </c>
      <c r="AQ260" s="186">
        <f t="shared" si="647"/>
        <v>4.3272386106516158E-3</v>
      </c>
      <c r="AR260" s="186">
        <f t="shared" ref="AR260:AW265" si="648">IF(AT$252=-1,AW260,IF(AT$252=99,AQ260,IF(AT$252=0,INDEX($D253:$K253,0,AT$250),(INDEX($D253:$K253,0,AT$252+1)-INDEX($D253:$K253,0,AT$252))/(INDEX($D$249:$K$249,0,AT$252+1)-INDEX($D$249:$K$249,0,AT$252))+AQ260)))</f>
        <v>4.1413494212197708E-3</v>
      </c>
      <c r="AS260" s="186">
        <f t="shared" si="648"/>
        <v>3.9554602317879257E-3</v>
      </c>
      <c r="AT260" s="186">
        <f t="shared" si="648"/>
        <v>3.7695710423560802E-3</v>
      </c>
      <c r="AU260" s="186">
        <f t="shared" si="648"/>
        <v>3.5836818529242347E-3</v>
      </c>
      <c r="AV260" s="186">
        <f t="shared" si="648"/>
        <v>3.3977926634923875E-3</v>
      </c>
      <c r="AW260" s="186">
        <f t="shared" si="648"/>
        <v>3.3977926634923875E-3</v>
      </c>
      <c r="AX260" s="186">
        <f t="shared" ref="AX260:BD265" si="649">IF(AV$252=-1,AZ260,IF(AV$252=99,AW260,IF(AV$252=0,INDEX($D253:$K253,0,AV$250),(INDEX($D253:$K253,0,AV$252+1)-INDEX($D253:$K253,0,AV$252))/(INDEX($D$249:$K$249,0,AV$252+1)-INDEX($D$249:$K$249,0,AV$252))+AW260)))</f>
        <v>3.211903474060542E-3</v>
      </c>
      <c r="AY260" s="186">
        <f t="shared" si="649"/>
        <v>3.0260142846286965E-3</v>
      </c>
      <c r="AZ260" s="186">
        <f t="shared" si="649"/>
        <v>3.3977926634923875E-3</v>
      </c>
      <c r="BA260" s="186">
        <f t="shared" si="649"/>
        <v>3.3977926634923875E-3</v>
      </c>
      <c r="BB260" s="186">
        <f t="shared" si="649"/>
        <v>3.3977926634923875E-3</v>
      </c>
      <c r="BC260" s="186">
        <f t="shared" si="649"/>
        <v>3.3977926634923875E-3</v>
      </c>
      <c r="BD260" s="186">
        <f t="shared" si="649"/>
        <v>3.3977926634923875E-3</v>
      </c>
    </row>
    <row r="261" spans="1:56">
      <c r="A261" s="185" t="s">
        <v>16</v>
      </c>
      <c r="E261" s="185" t="s">
        <v>441</v>
      </c>
      <c r="F261" s="185" t="s">
        <v>441</v>
      </c>
      <c r="G261" s="185" t="s">
        <v>436</v>
      </c>
      <c r="H261" s="186" t="s">
        <v>440</v>
      </c>
      <c r="I261" s="185" t="s">
        <v>276</v>
      </c>
      <c r="J261" s="186">
        <f t="shared" si="643"/>
        <v>0.37176231554491912</v>
      </c>
      <c r="K261" s="186">
        <f t="shared" si="644"/>
        <v>0.3676773924177848</v>
      </c>
      <c r="L261" s="186">
        <f t="shared" si="644"/>
        <v>0.36359246929065048</v>
      </c>
      <c r="M261" s="186">
        <f t="shared" si="644"/>
        <v>0.3595075461635161</v>
      </c>
      <c r="N261" s="186">
        <f t="shared" si="644"/>
        <v>0.17975377308175805</v>
      </c>
      <c r="O261" s="186">
        <f t="shared" si="644"/>
        <v>0</v>
      </c>
      <c r="P261" s="186">
        <f t="shared" si="644"/>
        <v>0.1323405827598669</v>
      </c>
      <c r="Q261" s="186">
        <f t="shared" si="644"/>
        <v>0.26468116551973381</v>
      </c>
      <c r="R261" s="186">
        <f t="shared" si="644"/>
        <v>0.39702174827960074</v>
      </c>
      <c r="S261" s="186">
        <f t="shared" si="644"/>
        <v>0.39176804654008973</v>
      </c>
      <c r="T261" s="186">
        <f t="shared" si="644"/>
        <v>0.38651434480057872</v>
      </c>
      <c r="U261" s="186">
        <f t="shared" si="645"/>
        <v>0.38126064306106772</v>
      </c>
      <c r="V261" s="186">
        <f t="shared" si="645"/>
        <v>0.37600694132155671</v>
      </c>
      <c r="W261" s="186">
        <f t="shared" si="645"/>
        <v>0.3707532395820457</v>
      </c>
      <c r="X261" s="186">
        <f t="shared" si="645"/>
        <v>0.36549953784253469</v>
      </c>
      <c r="Y261" s="186">
        <f t="shared" si="645"/>
        <v>0.36024583610302369</v>
      </c>
      <c r="Z261" s="186">
        <f t="shared" si="645"/>
        <v>0.35499213436351268</v>
      </c>
      <c r="AA261" s="186">
        <f t="shared" si="645"/>
        <v>0.34973843262400167</v>
      </c>
      <c r="AB261" s="186">
        <f t="shared" si="645"/>
        <v>0.34448473088449083</v>
      </c>
      <c r="AC261" s="186">
        <f t="shared" si="645"/>
        <v>0.34003608543016062</v>
      </c>
      <c r="AD261" s="186">
        <f t="shared" si="645"/>
        <v>0.3355874399758304</v>
      </c>
      <c r="AE261" s="186">
        <f t="shared" si="646"/>
        <v>0.33113879452150019</v>
      </c>
      <c r="AF261" s="186">
        <f t="shared" si="646"/>
        <v>0.32669014906716998</v>
      </c>
      <c r="AG261" s="186">
        <f t="shared" si="646"/>
        <v>0.32224150361283976</v>
      </c>
      <c r="AH261" s="186">
        <f t="shared" si="646"/>
        <v>0.31779285815850955</v>
      </c>
      <c r="AI261" s="186">
        <f t="shared" si="646"/>
        <v>0.31334421270417934</v>
      </c>
      <c r="AJ261" s="186">
        <f t="shared" si="646"/>
        <v>0.30889556724984912</v>
      </c>
      <c r="AK261" s="186">
        <f t="shared" si="646"/>
        <v>0.30444692179551891</v>
      </c>
      <c r="AL261" s="186">
        <f t="shared" si="646"/>
        <v>0.29999827634118842</v>
      </c>
      <c r="AM261" s="186">
        <f t="shared" si="646"/>
        <v>0.2962851036145559</v>
      </c>
      <c r="AN261" s="186">
        <f t="shared" si="646"/>
        <v>0.29257193088792338</v>
      </c>
      <c r="AO261" s="186">
        <f t="shared" si="647"/>
        <v>0.28885875816129086</v>
      </c>
      <c r="AP261" s="186">
        <f t="shared" si="647"/>
        <v>0.28514558543465834</v>
      </c>
      <c r="AQ261" s="186">
        <f t="shared" si="647"/>
        <v>0.28143241270802583</v>
      </c>
      <c r="AR261" s="186">
        <f t="shared" si="648"/>
        <v>0.27771923998139331</v>
      </c>
      <c r="AS261" s="186">
        <f t="shared" si="648"/>
        <v>0.27400606725476079</v>
      </c>
      <c r="AT261" s="186">
        <f t="shared" si="648"/>
        <v>0.27029289452812827</v>
      </c>
      <c r="AU261" s="186">
        <f t="shared" si="648"/>
        <v>0.26657972180149575</v>
      </c>
      <c r="AV261" s="186">
        <f t="shared" si="648"/>
        <v>0.26286654907486323</v>
      </c>
      <c r="AW261" s="186">
        <f t="shared" si="648"/>
        <v>0.26286654907486323</v>
      </c>
      <c r="AX261" s="186">
        <f t="shared" si="649"/>
        <v>0.25915337634823071</v>
      </c>
      <c r="AY261" s="186">
        <f t="shared" si="649"/>
        <v>0.25544020362159819</v>
      </c>
      <c r="AZ261" s="186">
        <f t="shared" si="649"/>
        <v>0.26286654907486323</v>
      </c>
      <c r="BA261" s="186">
        <f t="shared" si="649"/>
        <v>0.26286654907486323</v>
      </c>
      <c r="BB261" s="186">
        <f t="shared" si="649"/>
        <v>0.26286654907486323</v>
      </c>
      <c r="BC261" s="186">
        <f t="shared" si="649"/>
        <v>0.26286654907486323</v>
      </c>
      <c r="BD261" s="186">
        <f t="shared" si="649"/>
        <v>0.26286654907486323</v>
      </c>
    </row>
    <row r="262" spans="1:56">
      <c r="A262" s="185" t="s">
        <v>16</v>
      </c>
      <c r="E262" s="185" t="s">
        <v>441</v>
      </c>
      <c r="F262" s="185" t="s">
        <v>441</v>
      </c>
      <c r="G262" s="185" t="s">
        <v>437</v>
      </c>
      <c r="H262" s="186" t="s">
        <v>440</v>
      </c>
      <c r="I262" s="185" t="s">
        <v>277</v>
      </c>
      <c r="J262" s="186">
        <f t="shared" si="643"/>
        <v>0.55266700066342722</v>
      </c>
      <c r="K262" s="186">
        <f t="shared" si="644"/>
        <v>0.55828757420685771</v>
      </c>
      <c r="L262" s="186">
        <f t="shared" si="644"/>
        <v>0.56390814775028819</v>
      </c>
      <c r="M262" s="186">
        <f t="shared" si="644"/>
        <v>0.56952872129371868</v>
      </c>
      <c r="N262" s="186">
        <f t="shared" si="644"/>
        <v>0.28476436064685934</v>
      </c>
      <c r="O262" s="186">
        <f t="shared" si="644"/>
        <v>0</v>
      </c>
      <c r="P262" s="186">
        <f t="shared" si="644"/>
        <v>0.17857799564698862</v>
      </c>
      <c r="Q262" s="186">
        <f t="shared" si="644"/>
        <v>0.35715599129397724</v>
      </c>
      <c r="R262" s="186">
        <f t="shared" si="644"/>
        <v>0.53573398694096586</v>
      </c>
      <c r="S262" s="186">
        <f t="shared" si="644"/>
        <v>0.54199187118253189</v>
      </c>
      <c r="T262" s="186">
        <f t="shared" si="644"/>
        <v>0.54824975542409793</v>
      </c>
      <c r="U262" s="186">
        <f t="shared" si="645"/>
        <v>0.55450763966566397</v>
      </c>
      <c r="V262" s="186">
        <f t="shared" si="645"/>
        <v>0.56076552390723</v>
      </c>
      <c r="W262" s="186">
        <f t="shared" si="645"/>
        <v>0.56702340814879604</v>
      </c>
      <c r="X262" s="186">
        <f t="shared" si="645"/>
        <v>0.57328129239036207</v>
      </c>
      <c r="Y262" s="186">
        <f t="shared" si="645"/>
        <v>0.57953917663192811</v>
      </c>
      <c r="Z262" s="186">
        <f t="shared" si="645"/>
        <v>0.58579706087349415</v>
      </c>
      <c r="AA262" s="186">
        <f t="shared" si="645"/>
        <v>0.59205494511506018</v>
      </c>
      <c r="AB262" s="186">
        <f t="shared" si="645"/>
        <v>0.598312829356626</v>
      </c>
      <c r="AC262" s="186">
        <f t="shared" si="645"/>
        <v>0.60364316179024224</v>
      </c>
      <c r="AD262" s="186">
        <f t="shared" si="645"/>
        <v>0.60897349422385849</v>
      </c>
      <c r="AE262" s="186">
        <f t="shared" si="646"/>
        <v>0.61430382665747474</v>
      </c>
      <c r="AF262" s="186">
        <f t="shared" si="646"/>
        <v>0.61963415909109099</v>
      </c>
      <c r="AG262" s="186">
        <f t="shared" si="646"/>
        <v>0.62496449152470723</v>
      </c>
      <c r="AH262" s="186">
        <f t="shared" si="646"/>
        <v>0.63029482395832348</v>
      </c>
      <c r="AI262" s="186">
        <f t="shared" si="646"/>
        <v>0.63562515639193973</v>
      </c>
      <c r="AJ262" s="186">
        <f t="shared" si="646"/>
        <v>0.64095548882555597</v>
      </c>
      <c r="AK262" s="186">
        <f t="shared" si="646"/>
        <v>0.64628582125917222</v>
      </c>
      <c r="AL262" s="186">
        <f t="shared" si="646"/>
        <v>0.65161615369278869</v>
      </c>
      <c r="AM262" s="186">
        <f t="shared" si="646"/>
        <v>0.6557711463337994</v>
      </c>
      <c r="AN262" s="186">
        <f t="shared" si="646"/>
        <v>0.65992613897481012</v>
      </c>
      <c r="AO262" s="186">
        <f t="shared" si="647"/>
        <v>0.66408113161582083</v>
      </c>
      <c r="AP262" s="186">
        <f t="shared" si="647"/>
        <v>0.66823612425683154</v>
      </c>
      <c r="AQ262" s="186">
        <f t="shared" si="647"/>
        <v>0.67239111689784226</v>
      </c>
      <c r="AR262" s="186">
        <f t="shared" si="648"/>
        <v>0.67654610953885297</v>
      </c>
      <c r="AS262" s="186">
        <f t="shared" si="648"/>
        <v>0.68070110217986368</v>
      </c>
      <c r="AT262" s="186">
        <f t="shared" si="648"/>
        <v>0.68485609482087439</v>
      </c>
      <c r="AU262" s="186">
        <f t="shared" si="648"/>
        <v>0.68901108746188511</v>
      </c>
      <c r="AV262" s="186">
        <f t="shared" si="648"/>
        <v>0.69316608010289538</v>
      </c>
      <c r="AW262" s="186">
        <f t="shared" si="648"/>
        <v>0.69316608010289538</v>
      </c>
      <c r="AX262" s="186">
        <f t="shared" si="649"/>
        <v>0.69732107274390609</v>
      </c>
      <c r="AY262" s="186">
        <f t="shared" si="649"/>
        <v>0.7014760653849168</v>
      </c>
      <c r="AZ262" s="186">
        <f t="shared" si="649"/>
        <v>0.69316608010289538</v>
      </c>
      <c r="BA262" s="186">
        <f t="shared" si="649"/>
        <v>0.69316608010289538</v>
      </c>
      <c r="BB262" s="186">
        <f t="shared" si="649"/>
        <v>0.69316608010289538</v>
      </c>
      <c r="BC262" s="186">
        <f t="shared" si="649"/>
        <v>0.69316608010289538</v>
      </c>
      <c r="BD262" s="186">
        <f t="shared" si="649"/>
        <v>0.69316608010289538</v>
      </c>
    </row>
    <row r="263" spans="1:56">
      <c r="A263" s="185" t="s">
        <v>16</v>
      </c>
      <c r="E263" s="185" t="s">
        <v>442</v>
      </c>
      <c r="F263" s="185" t="s">
        <v>442</v>
      </c>
      <c r="G263" s="185" t="str">
        <f>G260</f>
        <v>low income</v>
      </c>
      <c r="H263" s="186" t="s">
        <v>439</v>
      </c>
      <c r="I263" s="185" t="str">
        <f>I260</f>
        <v>hhd-le</v>
      </c>
      <c r="J263" s="186">
        <f t="shared" si="643"/>
        <v>0.63107153379742353</v>
      </c>
      <c r="K263" s="186">
        <f t="shared" si="644"/>
        <v>0.62549538396677928</v>
      </c>
      <c r="L263" s="186">
        <f t="shared" si="644"/>
        <v>0.61991923413613503</v>
      </c>
      <c r="M263" s="186">
        <f t="shared" si="644"/>
        <v>0.61434308430549067</v>
      </c>
      <c r="N263" s="186">
        <f t="shared" si="644"/>
        <v>0.30717154215274534</v>
      </c>
      <c r="O263" s="186">
        <f t="shared" si="644"/>
        <v>0</v>
      </c>
      <c r="P263" s="186">
        <f t="shared" si="644"/>
        <v>0.20004095676783626</v>
      </c>
      <c r="Q263" s="186">
        <f t="shared" si="644"/>
        <v>0.40008191353567252</v>
      </c>
      <c r="R263" s="186">
        <f t="shared" si="644"/>
        <v>0.60012287030350875</v>
      </c>
      <c r="S263" s="186">
        <f t="shared" si="644"/>
        <v>0.59583639174902647</v>
      </c>
      <c r="T263" s="186">
        <f t="shared" si="644"/>
        <v>0.5915499131945442</v>
      </c>
      <c r="U263" s="186">
        <f t="shared" si="645"/>
        <v>0.58726343464006192</v>
      </c>
      <c r="V263" s="186">
        <f t="shared" si="645"/>
        <v>0.58297695608557965</v>
      </c>
      <c r="W263" s="186">
        <f t="shared" si="645"/>
        <v>0.57869047753109737</v>
      </c>
      <c r="X263" s="186">
        <f t="shared" si="645"/>
        <v>0.57440399897661509</v>
      </c>
      <c r="Y263" s="186">
        <f t="shared" si="645"/>
        <v>0.57011752042213282</v>
      </c>
      <c r="Z263" s="186">
        <f t="shared" si="645"/>
        <v>0.56583104186765054</v>
      </c>
      <c r="AA263" s="186">
        <f t="shared" si="645"/>
        <v>0.56154456331316827</v>
      </c>
      <c r="AB263" s="186">
        <f t="shared" si="645"/>
        <v>0.55725808475868577</v>
      </c>
      <c r="AC263" s="186">
        <f t="shared" si="645"/>
        <v>0.54949604015095355</v>
      </c>
      <c r="AD263" s="186">
        <f t="shared" si="645"/>
        <v>0.54173399554322132</v>
      </c>
      <c r="AE263" s="186">
        <f t="shared" si="646"/>
        <v>0.5339719509354891</v>
      </c>
      <c r="AF263" s="186">
        <f t="shared" si="646"/>
        <v>0.52620990632775688</v>
      </c>
      <c r="AG263" s="186">
        <f t="shared" si="646"/>
        <v>0.51844786172002466</v>
      </c>
      <c r="AH263" s="186">
        <f t="shared" si="646"/>
        <v>0.51068581711229244</v>
      </c>
      <c r="AI263" s="186">
        <f t="shared" si="646"/>
        <v>0.50292377250456022</v>
      </c>
      <c r="AJ263" s="186">
        <f t="shared" si="646"/>
        <v>0.495161727896828</v>
      </c>
      <c r="AK263" s="186">
        <f t="shared" si="646"/>
        <v>0.48739968328909578</v>
      </c>
      <c r="AL263" s="186">
        <f t="shared" si="646"/>
        <v>0.47963763868136328</v>
      </c>
      <c r="AM263" s="186">
        <f t="shared" si="646"/>
        <v>0.47216353654055726</v>
      </c>
      <c r="AN263" s="186">
        <f t="shared" si="646"/>
        <v>0.46468943439975124</v>
      </c>
      <c r="AO263" s="186">
        <f t="shared" si="647"/>
        <v>0.45721533225894523</v>
      </c>
      <c r="AP263" s="186">
        <f t="shared" si="647"/>
        <v>0.44974123011813921</v>
      </c>
      <c r="AQ263" s="186">
        <f t="shared" si="647"/>
        <v>0.4422671279773332</v>
      </c>
      <c r="AR263" s="186">
        <f t="shared" si="648"/>
        <v>0.43479302583652718</v>
      </c>
      <c r="AS263" s="186">
        <f t="shared" si="648"/>
        <v>0.42731892369572116</v>
      </c>
      <c r="AT263" s="186">
        <f t="shared" si="648"/>
        <v>0.41984482155491515</v>
      </c>
      <c r="AU263" s="186">
        <f t="shared" si="648"/>
        <v>0.41237071941410913</v>
      </c>
      <c r="AV263" s="186">
        <f t="shared" si="648"/>
        <v>0.40489661727330289</v>
      </c>
      <c r="AW263" s="186">
        <f t="shared" si="648"/>
        <v>0.40489661727330289</v>
      </c>
      <c r="AX263" s="186">
        <f t="shared" si="649"/>
        <v>0.39742251513249688</v>
      </c>
      <c r="AY263" s="186">
        <f t="shared" si="649"/>
        <v>0.38994841299169086</v>
      </c>
      <c r="AZ263" s="186">
        <f t="shared" si="649"/>
        <v>0.40489661727330289</v>
      </c>
      <c r="BA263" s="186">
        <f t="shared" si="649"/>
        <v>0.40489661727330289</v>
      </c>
      <c r="BB263" s="186">
        <f t="shared" si="649"/>
        <v>0.40489661727330289</v>
      </c>
      <c r="BC263" s="186">
        <f t="shared" si="649"/>
        <v>0.40489661727330289</v>
      </c>
      <c r="BD263" s="186">
        <f t="shared" si="649"/>
        <v>0.40489661727330289</v>
      </c>
    </row>
    <row r="264" spans="1:56">
      <c r="A264" s="185" t="s">
        <v>16</v>
      </c>
      <c r="E264" s="185" t="s">
        <v>442</v>
      </c>
      <c r="F264" s="185" t="s">
        <v>442</v>
      </c>
      <c r="G264" s="185" t="str">
        <f>G261</f>
        <v>medium income</v>
      </c>
      <c r="H264" s="186" t="s">
        <v>439</v>
      </c>
      <c r="I264" s="185" t="str">
        <f>I261</f>
        <v>hhd-me</v>
      </c>
      <c r="J264" s="186">
        <f t="shared" si="643"/>
        <v>0.27372599606642106</v>
      </c>
      <c r="K264" s="186">
        <f t="shared" si="644"/>
        <v>0.27614564631616662</v>
      </c>
      <c r="L264" s="186">
        <f t="shared" si="644"/>
        <v>0.27856529656591217</v>
      </c>
      <c r="M264" s="186">
        <f t="shared" si="644"/>
        <v>0.28098494681565778</v>
      </c>
      <c r="N264" s="186">
        <f t="shared" si="644"/>
        <v>0.14049247340782889</v>
      </c>
      <c r="O264" s="186">
        <f t="shared" si="644"/>
        <v>0</v>
      </c>
      <c r="P264" s="186">
        <f t="shared" si="644"/>
        <v>9.914756958823949E-2</v>
      </c>
      <c r="Q264" s="186">
        <f t="shared" si="644"/>
        <v>0.19829513917647898</v>
      </c>
      <c r="R264" s="186">
        <f t="shared" si="644"/>
        <v>0.29744270876471846</v>
      </c>
      <c r="S264" s="186">
        <f t="shared" si="644"/>
        <v>0.2990802268501474</v>
      </c>
      <c r="T264" s="186">
        <f t="shared" si="644"/>
        <v>0.30071774493557635</v>
      </c>
      <c r="U264" s="186">
        <f t="shared" si="645"/>
        <v>0.30235526302100529</v>
      </c>
      <c r="V264" s="186">
        <f t="shared" si="645"/>
        <v>0.30399278110643424</v>
      </c>
      <c r="W264" s="186">
        <f t="shared" si="645"/>
        <v>0.30563029919186319</v>
      </c>
      <c r="X264" s="186">
        <f t="shared" si="645"/>
        <v>0.30726781727729213</v>
      </c>
      <c r="Y264" s="186">
        <f t="shared" si="645"/>
        <v>0.30890533536272108</v>
      </c>
      <c r="Z264" s="186">
        <f t="shared" si="645"/>
        <v>0.31054285344815002</v>
      </c>
      <c r="AA264" s="186">
        <f t="shared" si="645"/>
        <v>0.31218037153357897</v>
      </c>
      <c r="AB264" s="186">
        <f t="shared" si="645"/>
        <v>0.31381788961900769</v>
      </c>
      <c r="AC264" s="186">
        <f t="shared" si="645"/>
        <v>0.31894288669022197</v>
      </c>
      <c r="AD264" s="186">
        <f t="shared" si="645"/>
        <v>0.32406788376143625</v>
      </c>
      <c r="AE264" s="186">
        <f t="shared" si="646"/>
        <v>0.32919288083265053</v>
      </c>
      <c r="AF264" s="186">
        <f t="shared" si="646"/>
        <v>0.3343178779038648</v>
      </c>
      <c r="AG264" s="186">
        <f t="shared" si="646"/>
        <v>0.33944287497507908</v>
      </c>
      <c r="AH264" s="186">
        <f t="shared" si="646"/>
        <v>0.34456787204629336</v>
      </c>
      <c r="AI264" s="186">
        <f t="shared" si="646"/>
        <v>0.34969286911750763</v>
      </c>
      <c r="AJ264" s="186">
        <f t="shared" si="646"/>
        <v>0.35481786618872191</v>
      </c>
      <c r="AK264" s="186">
        <f t="shared" si="646"/>
        <v>0.35994286325993619</v>
      </c>
      <c r="AL264" s="186">
        <f t="shared" si="646"/>
        <v>0.36506786033115035</v>
      </c>
      <c r="AM264" s="186">
        <f t="shared" si="646"/>
        <v>0.37075173574548881</v>
      </c>
      <c r="AN264" s="186">
        <f t="shared" si="646"/>
        <v>0.37643561115982727</v>
      </c>
      <c r="AO264" s="186">
        <f t="shared" si="647"/>
        <v>0.38211948657416572</v>
      </c>
      <c r="AP264" s="186">
        <f t="shared" si="647"/>
        <v>0.38780336198850418</v>
      </c>
      <c r="AQ264" s="186">
        <f t="shared" si="647"/>
        <v>0.39348723740284264</v>
      </c>
      <c r="AR264" s="186">
        <f t="shared" si="648"/>
        <v>0.3991711128171811</v>
      </c>
      <c r="AS264" s="186">
        <f t="shared" si="648"/>
        <v>0.40485498823151955</v>
      </c>
      <c r="AT264" s="186">
        <f t="shared" si="648"/>
        <v>0.41053886364585801</v>
      </c>
      <c r="AU264" s="186">
        <f t="shared" si="648"/>
        <v>0.41622273906019647</v>
      </c>
      <c r="AV264" s="186">
        <f t="shared" si="648"/>
        <v>0.42190661447453492</v>
      </c>
      <c r="AW264" s="186">
        <f t="shared" si="648"/>
        <v>0.42190661447453492</v>
      </c>
      <c r="AX264" s="186">
        <f t="shared" si="649"/>
        <v>0.42759048988887338</v>
      </c>
      <c r="AY264" s="186">
        <f t="shared" si="649"/>
        <v>0.43327436530321184</v>
      </c>
      <c r="AZ264" s="186">
        <f t="shared" si="649"/>
        <v>0.42190661447453492</v>
      </c>
      <c r="BA264" s="186">
        <f t="shared" si="649"/>
        <v>0.42190661447453492</v>
      </c>
      <c r="BB264" s="186">
        <f t="shared" si="649"/>
        <v>0.42190661447453492</v>
      </c>
      <c r="BC264" s="186">
        <f t="shared" si="649"/>
        <v>0.42190661447453492</v>
      </c>
      <c r="BD264" s="186">
        <f t="shared" si="649"/>
        <v>0.42190661447453492</v>
      </c>
    </row>
    <row r="265" spans="1:56">
      <c r="A265" s="185" t="s">
        <v>16</v>
      </c>
      <c r="E265" s="185" t="s">
        <v>442</v>
      </c>
      <c r="F265" s="185" t="s">
        <v>442</v>
      </c>
      <c r="G265" s="185" t="str">
        <f>G262</f>
        <v>high income</v>
      </c>
      <c r="H265" s="186" t="s">
        <v>439</v>
      </c>
      <c r="I265" s="185" t="str">
        <f>I262</f>
        <v>hhd-he</v>
      </c>
      <c r="J265" s="186">
        <f t="shared" si="643"/>
        <v>9.5202470136155223E-2</v>
      </c>
      <c r="K265" s="186">
        <f t="shared" si="644"/>
        <v>9.8358969717053948E-2</v>
      </c>
      <c r="L265" s="186">
        <f t="shared" si="644"/>
        <v>0.10151546929795267</v>
      </c>
      <c r="M265" s="186">
        <f t="shared" si="644"/>
        <v>0.10467196887885141</v>
      </c>
      <c r="N265" s="186">
        <f t="shared" si="644"/>
        <v>5.2335984439425706E-2</v>
      </c>
      <c r="O265" s="186">
        <f t="shared" si="644"/>
        <v>0</v>
      </c>
      <c r="P265" s="186">
        <f t="shared" si="644"/>
        <v>3.4144806977257601E-2</v>
      </c>
      <c r="Q265" s="186">
        <f t="shared" si="644"/>
        <v>6.8289613954515202E-2</v>
      </c>
      <c r="R265" s="186">
        <f t="shared" si="644"/>
        <v>0.1024344209317728</v>
      </c>
      <c r="S265" s="186">
        <f t="shared" si="644"/>
        <v>0.10508338140082618</v>
      </c>
      <c r="T265" s="186">
        <f t="shared" si="644"/>
        <v>0.10773234186987957</v>
      </c>
      <c r="U265" s="186">
        <f t="shared" si="645"/>
        <v>0.11038130233893295</v>
      </c>
      <c r="V265" s="186">
        <f t="shared" si="645"/>
        <v>0.11303026280798634</v>
      </c>
      <c r="W265" s="186">
        <f t="shared" si="645"/>
        <v>0.11567922327703972</v>
      </c>
      <c r="X265" s="186">
        <f t="shared" si="645"/>
        <v>0.11832818374609311</v>
      </c>
      <c r="Y265" s="186">
        <f t="shared" si="645"/>
        <v>0.12097714421514649</v>
      </c>
      <c r="Z265" s="186">
        <f t="shared" si="645"/>
        <v>0.12362610468419988</v>
      </c>
      <c r="AA265" s="186">
        <f t="shared" si="645"/>
        <v>0.12627506515325326</v>
      </c>
      <c r="AB265" s="186">
        <f t="shared" si="645"/>
        <v>0.12892402562230665</v>
      </c>
      <c r="AC265" s="186">
        <f t="shared" si="645"/>
        <v>0.13156107315882462</v>
      </c>
      <c r="AD265" s="186">
        <f t="shared" si="645"/>
        <v>0.13419812069534259</v>
      </c>
      <c r="AE265" s="186">
        <f t="shared" si="646"/>
        <v>0.13683516823186057</v>
      </c>
      <c r="AF265" s="186">
        <f t="shared" si="646"/>
        <v>0.13947221576837854</v>
      </c>
      <c r="AG265" s="186">
        <f t="shared" si="646"/>
        <v>0.14210926330489651</v>
      </c>
      <c r="AH265" s="186">
        <f t="shared" si="646"/>
        <v>0.14474631084141448</v>
      </c>
      <c r="AI265" s="186">
        <f t="shared" si="646"/>
        <v>0.14738335837793246</v>
      </c>
      <c r="AJ265" s="186">
        <f t="shared" si="646"/>
        <v>0.15002040591445043</v>
      </c>
      <c r="AK265" s="186">
        <f t="shared" si="646"/>
        <v>0.1526574534509684</v>
      </c>
      <c r="AL265" s="186">
        <f t="shared" si="646"/>
        <v>0.15529450098748634</v>
      </c>
      <c r="AM265" s="186">
        <f t="shared" si="646"/>
        <v>0.15708472771395393</v>
      </c>
      <c r="AN265" s="186">
        <f t="shared" si="646"/>
        <v>0.15887495444042152</v>
      </c>
      <c r="AO265" s="186">
        <f t="shared" si="647"/>
        <v>0.1606651811668891</v>
      </c>
      <c r="AP265" s="186">
        <f t="shared" si="647"/>
        <v>0.16245540789335669</v>
      </c>
      <c r="AQ265" s="186">
        <f t="shared" si="647"/>
        <v>0.16424563461982428</v>
      </c>
      <c r="AR265" s="186">
        <f t="shared" si="648"/>
        <v>0.16603586134629186</v>
      </c>
      <c r="AS265" s="186">
        <f t="shared" si="648"/>
        <v>0.16782608807275945</v>
      </c>
      <c r="AT265" s="186">
        <f t="shared" si="648"/>
        <v>0.16961631479922704</v>
      </c>
      <c r="AU265" s="186">
        <f t="shared" si="648"/>
        <v>0.17140654152569462</v>
      </c>
      <c r="AV265" s="186">
        <f t="shared" si="648"/>
        <v>0.17319676825216232</v>
      </c>
      <c r="AW265" s="186">
        <f t="shared" si="648"/>
        <v>0.17319676825216232</v>
      </c>
      <c r="AX265" s="186">
        <f t="shared" si="649"/>
        <v>0.17498699497862991</v>
      </c>
      <c r="AY265" s="186">
        <f t="shared" si="649"/>
        <v>0.17677722170509749</v>
      </c>
      <c r="AZ265" s="186">
        <f t="shared" si="649"/>
        <v>0.17319676825216232</v>
      </c>
      <c r="BA265" s="186">
        <f t="shared" si="649"/>
        <v>0.17319676825216232</v>
      </c>
      <c r="BB265" s="186">
        <f t="shared" si="649"/>
        <v>0.17319676825216232</v>
      </c>
      <c r="BC265" s="186">
        <f t="shared" si="649"/>
        <v>0.17319676825216232</v>
      </c>
      <c r="BD265" s="186">
        <f t="shared" si="649"/>
        <v>0.17319676825216232</v>
      </c>
    </row>
    <row r="266" spans="1:56">
      <c r="A266" s="185" t="s">
        <v>16</v>
      </c>
    </row>
    <row r="267" spans="1:56">
      <c r="A267" s="185" t="s">
        <v>16</v>
      </c>
    </row>
    <row r="268" spans="1:56">
      <c r="A268" s="185" t="s">
        <v>16</v>
      </c>
    </row>
    <row r="269" spans="1:56">
      <c r="A269" s="185" t="s">
        <v>16</v>
      </c>
    </row>
    <row r="270" spans="1:56">
      <c r="A270" s="185" t="s">
        <v>16</v>
      </c>
    </row>
    <row r="271" spans="1:56">
      <c r="A271" s="185" t="s">
        <v>16</v>
      </c>
    </row>
    <row r="272" spans="1:56">
      <c r="A272" s="185" t="s">
        <v>16</v>
      </c>
    </row>
    <row r="273" spans="1:1">
      <c r="A273" s="185" t="s">
        <v>16</v>
      </c>
    </row>
    <row r="274" spans="1:1">
      <c r="A274" s="185" t="s">
        <v>16</v>
      </c>
    </row>
    <row r="275" spans="1:1">
      <c r="A275" s="185" t="s">
        <v>16</v>
      </c>
    </row>
    <row r="276" spans="1:1">
      <c r="A276" s="185" t="s">
        <v>16</v>
      </c>
    </row>
    <row r="277" spans="1:1">
      <c r="A277" s="185" t="s">
        <v>16</v>
      </c>
    </row>
    <row r="278" spans="1:1">
      <c r="A278" s="185" t="s">
        <v>16</v>
      </c>
    </row>
    <row r="279" spans="1:1">
      <c r="A279" s="185" t="s">
        <v>16</v>
      </c>
    </row>
    <row r="280" spans="1:1">
      <c r="A280" s="185" t="s">
        <v>16</v>
      </c>
    </row>
    <row r="281" spans="1:1">
      <c r="A281" s="185" t="s">
        <v>16</v>
      </c>
    </row>
    <row r="282" spans="1:1">
      <c r="A282" s="185" t="s">
        <v>16</v>
      </c>
    </row>
  </sheetData>
  <mergeCells count="1">
    <mergeCell ref="B2:C2"/>
  </mergeCells>
  <phoneticPr fontId="167"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1"/>
  <sheetViews>
    <sheetView topLeftCell="A10" workbookViewId="0">
      <selection activeCell="J33" sqref="J33:R33"/>
    </sheetView>
  </sheetViews>
  <sheetFormatPr defaultColWidth="8.85546875" defaultRowHeight="15"/>
  <cols>
    <col min="1" max="1" width="9.140625" style="4" customWidth="1"/>
    <col min="2" max="2" width="15.5703125" customWidth="1"/>
    <col min="3" max="3" width="47.140625" customWidth="1"/>
    <col min="7" max="7" width="9.140625" style="4" customWidth="1"/>
    <col min="12" max="12" width="8.85546875" style="185"/>
    <col min="13" max="43" width="6.85546875" customWidth="1"/>
  </cols>
  <sheetData>
    <row r="1" spans="1:43" s="4" customFormat="1">
      <c r="A1" s="4" t="str">
        <f>IF(TRA,"TS DATA","")</f>
        <v>TS DATA</v>
      </c>
      <c r="B1" s="4" t="s">
        <v>17</v>
      </c>
      <c r="J1" s="40"/>
      <c r="L1" s="185"/>
    </row>
    <row r="2" spans="1:43" s="4" customFormat="1" ht="15.75" thickBot="1">
      <c r="A2" s="4" t="s">
        <v>16</v>
      </c>
      <c r="B2" s="325" t="s">
        <v>296</v>
      </c>
      <c r="C2" s="325"/>
      <c r="J2" s="40"/>
      <c r="L2" s="185"/>
    </row>
    <row r="3" spans="1:43">
      <c r="A3" s="4" t="s">
        <v>16</v>
      </c>
      <c r="B3" s="263" t="s">
        <v>633</v>
      </c>
      <c r="C3" s="4"/>
      <c r="D3" s="4"/>
      <c r="E3" s="4"/>
      <c r="F3" s="4"/>
      <c r="H3" s="4"/>
      <c r="I3" s="4"/>
      <c r="J3" s="185">
        <f>MATCH(J4,Drivers!$C$5:$AG$5,0)</f>
        <v>1</v>
      </c>
      <c r="K3" s="185">
        <f>MATCH(K4,Drivers!$C$5:$AG$5,0)</f>
        <v>4</v>
      </c>
      <c r="L3" s="185">
        <f>MATCH(L4,Drivers!$C$5:$AG$5,0)</f>
        <v>6</v>
      </c>
      <c r="M3" s="281">
        <f>MATCH(M4,Drivers!$C$5:$AG$5,0)</f>
        <v>8</v>
      </c>
      <c r="N3" s="185">
        <f>MATCH(N4,Drivers!$C$5:$AG$5,0)</f>
        <v>9</v>
      </c>
      <c r="O3" s="281">
        <f>MATCH(O4,Drivers!$C$5:$AG$5,0)</f>
        <v>10</v>
      </c>
      <c r="P3" s="185">
        <f>MATCH(P4,Drivers!$C$5:$AG$5,0)</f>
        <v>19</v>
      </c>
      <c r="Q3" s="185">
        <f>MATCH(Q4,Drivers!$C$5:$AG$5,0)</f>
        <v>29</v>
      </c>
      <c r="R3" s="185">
        <f>MATCH(R4,Drivers!$C$5:$AG$5,0)</f>
        <v>31</v>
      </c>
      <c r="S3" s="4"/>
      <c r="T3" s="4"/>
      <c r="U3" s="4"/>
      <c r="V3" s="4"/>
      <c r="W3" s="4"/>
      <c r="X3" s="4"/>
      <c r="Y3" s="4"/>
      <c r="Z3" s="4"/>
      <c r="AA3" s="4"/>
      <c r="AB3" s="4"/>
      <c r="AC3" s="4"/>
      <c r="AD3" s="18"/>
      <c r="AE3" s="18"/>
      <c r="AF3" s="18"/>
      <c r="AG3" s="18"/>
      <c r="AH3" s="18"/>
      <c r="AI3" s="18"/>
      <c r="AJ3" s="18"/>
      <c r="AK3" s="18"/>
      <c r="AL3" s="18"/>
      <c r="AM3" s="18"/>
      <c r="AN3" s="18"/>
      <c r="AO3" s="18"/>
      <c r="AP3" s="18"/>
      <c r="AQ3" s="18"/>
    </row>
    <row r="4" spans="1:43" ht="18" thickBot="1">
      <c r="A4" s="4" t="s">
        <v>16</v>
      </c>
      <c r="B4" s="65" t="s">
        <v>156</v>
      </c>
      <c r="C4" s="14"/>
      <c r="D4" s="14" t="s">
        <v>135</v>
      </c>
      <c r="E4" s="14"/>
      <c r="F4" s="14"/>
      <c r="G4" s="14"/>
      <c r="H4" s="14"/>
      <c r="I4" s="14" t="s">
        <v>135</v>
      </c>
      <c r="J4" s="185">
        <v>2012</v>
      </c>
      <c r="K4" s="185">
        <v>2015</v>
      </c>
      <c r="L4" s="185">
        <v>2017</v>
      </c>
      <c r="M4">
        <v>2019</v>
      </c>
      <c r="N4" s="185">
        <v>2020</v>
      </c>
      <c r="O4">
        <v>2021</v>
      </c>
      <c r="P4" s="185">
        <v>2030</v>
      </c>
      <c r="Q4" s="185">
        <v>2040</v>
      </c>
      <c r="R4" s="185">
        <v>2050</v>
      </c>
      <c r="S4" s="4"/>
      <c r="T4" s="4"/>
      <c r="U4" s="4"/>
      <c r="V4" s="4"/>
      <c r="W4" s="4"/>
      <c r="X4" s="4"/>
      <c r="Y4" s="4"/>
      <c r="Z4" s="4"/>
      <c r="AA4" s="4"/>
      <c r="AB4" s="4"/>
      <c r="AC4" s="4"/>
      <c r="AD4" s="4"/>
      <c r="AE4" s="4"/>
      <c r="AF4" s="4"/>
      <c r="AG4" s="4"/>
      <c r="AH4" s="4"/>
      <c r="AI4" s="4"/>
      <c r="AJ4" s="4"/>
      <c r="AK4" s="4"/>
      <c r="AL4" s="4"/>
      <c r="AM4" s="4"/>
      <c r="AN4" s="4"/>
      <c r="AO4" s="4"/>
    </row>
    <row r="5" spans="1:43" ht="15.75" thickTop="1">
      <c r="A5" s="4" t="s">
        <v>16</v>
      </c>
      <c r="B5" s="186" t="s">
        <v>598</v>
      </c>
      <c r="C5" s="186" t="s">
        <v>600</v>
      </c>
      <c r="D5" s="185">
        <f>MATCH(B5,Drivers!$A$7:$A$22,0)</f>
        <v>13</v>
      </c>
      <c r="E5" s="186"/>
      <c r="G5"/>
      <c r="J5" s="24">
        <f>INDEX(Drivers!$C$7:$AG$22,$D5,J$3)</f>
        <v>11.26</v>
      </c>
      <c r="K5" s="24">
        <f>INDEX(Drivers!$C$7:$AG$22,$D5,K$3)</f>
        <v>12.12</v>
      </c>
      <c r="L5" s="24">
        <f>INDEX(Drivers!$C$7:$AG$22,$D5,L$3)</f>
        <v>12.36</v>
      </c>
      <c r="M5" s="24">
        <f>INDEX(Drivers!$C$7:$AG$22,$D5,M$3)</f>
        <v>12.79</v>
      </c>
      <c r="N5" s="24">
        <f>INDEX(Drivers!$C$7:$AG$22,$D5,N$3)</f>
        <v>12</v>
      </c>
      <c r="O5" s="24">
        <f>INDEX(Drivers!$C$7:$AG$22,$D5,O$3)</f>
        <v>12.34</v>
      </c>
      <c r="P5" s="24">
        <f>INDEX(Drivers!$C$7:$AG$22,$D5,P$3)</f>
        <v>14.74</v>
      </c>
      <c r="Q5" s="24">
        <f>INDEX(Drivers!$C$7:$AG$22,$D5,Q$3)</f>
        <v>18.8</v>
      </c>
      <c r="R5" s="24">
        <f>INDEX(Drivers!$C$7:$AG$22,$D5,R$3)</f>
        <v>24.05</v>
      </c>
      <c r="S5" s="6"/>
      <c r="T5" s="6"/>
      <c r="U5" s="6"/>
      <c r="V5" s="6"/>
      <c r="W5" s="6"/>
      <c r="X5" s="6"/>
      <c r="Y5" s="6"/>
      <c r="Z5" s="6"/>
      <c r="AA5" s="6"/>
      <c r="AB5" s="6"/>
      <c r="AC5" s="6"/>
      <c r="AD5" s="6"/>
      <c r="AE5" s="6"/>
      <c r="AF5" s="6"/>
      <c r="AG5" s="6"/>
      <c r="AH5" s="6"/>
      <c r="AI5" s="6"/>
      <c r="AJ5" s="6"/>
      <c r="AK5" s="6"/>
      <c r="AL5" s="6"/>
      <c r="AM5" s="6"/>
      <c r="AN5" s="6"/>
      <c r="AO5" s="6"/>
      <c r="AP5" s="6"/>
      <c r="AQ5" s="6"/>
    </row>
    <row r="6" spans="1:43">
      <c r="A6" s="4" t="s">
        <v>16</v>
      </c>
      <c r="F6" s="4"/>
      <c r="G6"/>
    </row>
    <row r="7" spans="1:43">
      <c r="A7" s="4" t="s">
        <v>16</v>
      </c>
      <c r="B7" s="4"/>
      <c r="C7" s="4"/>
      <c r="D7" s="4"/>
      <c r="E7" s="4"/>
      <c r="F7" s="4"/>
      <c r="H7" s="4"/>
      <c r="I7" s="4"/>
      <c r="J7" s="53"/>
      <c r="K7" s="6"/>
      <c r="L7" s="186"/>
      <c r="N7" s="6"/>
      <c r="P7" s="6"/>
      <c r="Q7" s="6"/>
      <c r="R7" s="6"/>
      <c r="S7" s="6"/>
      <c r="T7" s="6"/>
      <c r="U7" s="6"/>
      <c r="V7" s="6"/>
      <c r="W7" s="6"/>
      <c r="X7" s="6"/>
      <c r="Y7" s="6"/>
      <c r="Z7" s="6"/>
      <c r="AA7" s="6"/>
      <c r="AB7" s="6"/>
      <c r="AC7" s="6"/>
      <c r="AD7" s="6"/>
      <c r="AE7" s="6"/>
      <c r="AF7" s="6"/>
      <c r="AG7" s="6"/>
      <c r="AH7" s="6"/>
      <c r="AI7" s="6"/>
      <c r="AJ7" s="6"/>
      <c r="AK7" s="6"/>
      <c r="AL7" s="6"/>
      <c r="AM7" s="6"/>
      <c r="AN7" s="6"/>
      <c r="AO7" s="6"/>
    </row>
    <row r="8" spans="1:43" ht="15.75" thickBot="1">
      <c r="A8" s="4" t="s">
        <v>16</v>
      </c>
      <c r="B8" s="14" t="s">
        <v>105</v>
      </c>
      <c r="D8">
        <f>D27</f>
        <v>2012</v>
      </c>
      <c r="E8" s="4">
        <f>E27</f>
        <v>2015</v>
      </c>
      <c r="F8" s="4">
        <f>F27</f>
        <v>2020</v>
      </c>
      <c r="G8" s="4">
        <f>G27</f>
        <v>2030</v>
      </c>
      <c r="H8" s="4">
        <f>H27</f>
        <v>2050</v>
      </c>
    </row>
    <row r="9" spans="1:43">
      <c r="A9" s="4" t="s">
        <v>16</v>
      </c>
      <c r="B9" s="54" t="s">
        <v>93</v>
      </c>
      <c r="C9" s="4"/>
      <c r="D9">
        <v>1</v>
      </c>
      <c r="E9">
        <f t="shared" ref="E9:H11" si="0">D9</f>
        <v>1</v>
      </c>
      <c r="F9" s="4">
        <f t="shared" si="0"/>
        <v>1</v>
      </c>
      <c r="G9" s="4">
        <f t="shared" si="0"/>
        <v>1</v>
      </c>
      <c r="H9" s="4">
        <f t="shared" si="0"/>
        <v>1</v>
      </c>
      <c r="I9" s="4"/>
      <c r="J9" s="10">
        <f>D9</f>
        <v>1</v>
      </c>
      <c r="K9" s="10">
        <f t="shared" ref="K9:L11" si="1">J9</f>
        <v>1</v>
      </c>
      <c r="L9" s="10">
        <f t="shared" si="1"/>
        <v>1</v>
      </c>
      <c r="M9" s="10">
        <f t="shared" ref="M9:M11" si="2">L9</f>
        <v>1</v>
      </c>
      <c r="N9" s="10">
        <f t="shared" ref="N9:N11" si="3">M9</f>
        <v>1</v>
      </c>
      <c r="O9" s="10">
        <f t="shared" ref="O9:O11" si="4">N9</f>
        <v>1</v>
      </c>
      <c r="P9" s="10">
        <f t="shared" ref="P9:P11" si="5">O9</f>
        <v>1</v>
      </c>
      <c r="Q9" s="10">
        <f>P9</f>
        <v>1</v>
      </c>
      <c r="R9" s="10">
        <f>Q9</f>
        <v>1</v>
      </c>
      <c r="S9" s="10"/>
      <c r="T9" s="10"/>
      <c r="U9" s="10"/>
      <c r="V9" s="10"/>
      <c r="W9" s="10"/>
      <c r="X9" s="10"/>
      <c r="Y9" s="10"/>
      <c r="Z9" s="10"/>
      <c r="AA9" s="10"/>
      <c r="AB9" s="10"/>
      <c r="AC9" s="10"/>
      <c r="AD9" s="10"/>
      <c r="AE9" s="10"/>
      <c r="AF9" s="10"/>
      <c r="AG9" s="10"/>
      <c r="AH9" s="10"/>
      <c r="AI9" s="10"/>
      <c r="AJ9" s="10"/>
      <c r="AK9" s="10"/>
      <c r="AL9" s="10"/>
      <c r="AM9" s="10"/>
      <c r="AN9" s="10"/>
      <c r="AO9" s="10"/>
      <c r="AP9" s="10"/>
      <c r="AQ9" s="10"/>
    </row>
    <row r="10" spans="1:43" s="185" customFormat="1">
      <c r="A10" s="185" t="s">
        <v>16</v>
      </c>
      <c r="B10" s="54" t="s">
        <v>106</v>
      </c>
      <c r="D10" s="185">
        <v>1</v>
      </c>
      <c r="E10" s="185">
        <f t="shared" ref="E10" si="6">D10</f>
        <v>1</v>
      </c>
      <c r="F10" s="185">
        <f t="shared" ref="F10" si="7">E10</f>
        <v>1</v>
      </c>
      <c r="G10" s="185">
        <f t="shared" ref="G10" si="8">F10</f>
        <v>1</v>
      </c>
      <c r="H10" s="185">
        <f t="shared" ref="H10" si="9">G10</f>
        <v>1</v>
      </c>
      <c r="J10" s="10">
        <f>D10</f>
        <v>1</v>
      </c>
      <c r="K10" s="10">
        <f t="shared" si="1"/>
        <v>1</v>
      </c>
      <c r="L10" s="10">
        <f t="shared" si="1"/>
        <v>1</v>
      </c>
      <c r="M10" s="10">
        <f t="shared" si="2"/>
        <v>1</v>
      </c>
      <c r="N10" s="10">
        <f t="shared" si="3"/>
        <v>1</v>
      </c>
      <c r="O10" s="10">
        <f t="shared" si="4"/>
        <v>1</v>
      </c>
      <c r="P10" s="10">
        <f t="shared" si="5"/>
        <v>1</v>
      </c>
      <c r="Q10" s="10">
        <f t="shared" ref="Q10" si="10">P10</f>
        <v>1</v>
      </c>
      <c r="R10" s="10">
        <f t="shared" ref="R10" si="11">Q10</f>
        <v>1</v>
      </c>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row>
    <row r="11" spans="1:43">
      <c r="A11" s="4" t="s">
        <v>16</v>
      </c>
      <c r="B11" s="4" t="s">
        <v>95</v>
      </c>
      <c r="C11" s="4"/>
      <c r="D11" s="4">
        <v>1</v>
      </c>
      <c r="E11" s="4">
        <f t="shared" si="0"/>
        <v>1</v>
      </c>
      <c r="F11" s="4">
        <f t="shared" si="0"/>
        <v>1</v>
      </c>
      <c r="G11" s="4">
        <f t="shared" si="0"/>
        <v>1</v>
      </c>
      <c r="H11" s="4">
        <f t="shared" si="0"/>
        <v>1</v>
      </c>
      <c r="I11" s="4"/>
      <c r="J11" s="10">
        <f>D11</f>
        <v>1</v>
      </c>
      <c r="K11" s="10">
        <f t="shared" si="1"/>
        <v>1</v>
      </c>
      <c r="L11" s="10">
        <f t="shared" si="1"/>
        <v>1</v>
      </c>
      <c r="M11" s="10">
        <f t="shared" si="2"/>
        <v>1</v>
      </c>
      <c r="N11" s="10">
        <f t="shared" si="3"/>
        <v>1</v>
      </c>
      <c r="O11" s="10">
        <f t="shared" si="4"/>
        <v>1</v>
      </c>
      <c r="P11" s="10">
        <f t="shared" si="5"/>
        <v>1</v>
      </c>
      <c r="Q11" s="10">
        <f>P11</f>
        <v>1</v>
      </c>
      <c r="R11" s="10">
        <f>Q11</f>
        <v>1</v>
      </c>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row>
    <row r="12" spans="1:43">
      <c r="A12" s="4" t="s">
        <v>16</v>
      </c>
      <c r="B12" s="4"/>
      <c r="C12" s="4"/>
      <c r="D12" s="4"/>
      <c r="E12" s="4"/>
      <c r="F12" s="4"/>
      <c r="H12" s="4"/>
      <c r="I12" s="4"/>
      <c r="J12" s="4"/>
      <c r="K12" s="4"/>
      <c r="N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row>
    <row r="13" spans="1:43">
      <c r="A13" s="4" t="s">
        <v>16</v>
      </c>
      <c r="B13" s="4"/>
      <c r="C13" s="4"/>
      <c r="D13" s="4"/>
      <c r="E13" s="4"/>
      <c r="F13" s="4"/>
      <c r="H13" s="4"/>
      <c r="I13" s="4"/>
      <c r="J13" s="4"/>
      <c r="K13" s="4"/>
      <c r="N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row>
    <row r="14" spans="1:43" ht="15.75" thickBot="1">
      <c r="A14" s="4" t="s">
        <v>16</v>
      </c>
      <c r="B14" s="14" t="s">
        <v>103</v>
      </c>
      <c r="C14" s="14"/>
      <c r="D14" s="4">
        <f>D8</f>
        <v>2012</v>
      </c>
      <c r="E14" s="4">
        <f>E8</f>
        <v>2015</v>
      </c>
      <c r="F14" s="4">
        <f>F8</f>
        <v>2020</v>
      </c>
      <c r="G14" s="4">
        <f>G8</f>
        <v>2030</v>
      </c>
      <c r="H14" s="4">
        <f>H8</f>
        <v>2050</v>
      </c>
      <c r="I14" s="52"/>
    </row>
    <row r="15" spans="1:43">
      <c r="A15" s="4" t="s">
        <v>16</v>
      </c>
      <c r="B15" s="4" t="s">
        <v>92</v>
      </c>
      <c r="E15" s="6"/>
      <c r="F15" s="6"/>
      <c r="G15" s="6"/>
      <c r="H15" s="6"/>
    </row>
    <row r="16" spans="1:43">
      <c r="A16" s="4" t="s">
        <v>16</v>
      </c>
      <c r="B16" s="185" t="s">
        <v>93</v>
      </c>
      <c r="C16" s="6">
        <v>1</v>
      </c>
      <c r="D16" s="6">
        <f>C16</f>
        <v>1</v>
      </c>
      <c r="E16" s="6">
        <f>D16</f>
        <v>1</v>
      </c>
      <c r="F16" s="6">
        <f>E16</f>
        <v>1</v>
      </c>
      <c r="G16" s="6">
        <f>F16</f>
        <v>1</v>
      </c>
      <c r="H16" s="6">
        <f>G16</f>
        <v>1</v>
      </c>
      <c r="I16" s="28" t="s">
        <v>38</v>
      </c>
      <c r="J16" s="113">
        <f>E22</f>
        <v>60.368000000000002</v>
      </c>
      <c r="K16" s="36">
        <f>J16*(1+$C$16*(K5/J5-1))</f>
        <v>64.978699822380108</v>
      </c>
      <c r="L16" s="36">
        <f>K16*(1+$C$16*(L5/K5-1))</f>
        <v>66.26540674955595</v>
      </c>
      <c r="M16" s="36">
        <f t="shared" ref="M16:O16" si="12">L16*(1+$C$16*(M5/L5-1))</f>
        <v>68.570756660746</v>
      </c>
      <c r="N16" s="36">
        <f t="shared" si="12"/>
        <v>64.335346358792194</v>
      </c>
      <c r="O16" s="36">
        <f t="shared" si="12"/>
        <v>66.158181172291307</v>
      </c>
      <c r="P16" s="36">
        <f>N16*(1+$C$16*(P5/N5-1))</f>
        <v>79.025250444049746</v>
      </c>
      <c r="Q16" s="36">
        <f>P16*(1+$C$16*(Q5/P5-1))</f>
        <v>100.79204262877444</v>
      </c>
      <c r="R16" s="36">
        <f>Q16*(1+$C$16*(R5/Q5-1))</f>
        <v>128.93875666074604</v>
      </c>
      <c r="S16" s="36"/>
      <c r="T16" s="36"/>
      <c r="U16" s="36"/>
      <c r="V16" s="36"/>
      <c r="W16" s="36"/>
      <c r="X16" s="36"/>
      <c r="Y16" s="36"/>
      <c r="Z16" s="36"/>
      <c r="AA16" s="36"/>
      <c r="AB16" s="36"/>
      <c r="AC16" s="36"/>
      <c r="AD16" s="36"/>
      <c r="AE16" s="36"/>
      <c r="AF16" s="36"/>
      <c r="AG16" s="36"/>
      <c r="AH16" s="36"/>
      <c r="AI16" s="36"/>
      <c r="AJ16" s="36"/>
      <c r="AK16" s="36"/>
      <c r="AL16" s="36"/>
      <c r="AM16" s="36"/>
      <c r="AN16" s="36"/>
      <c r="AO16" s="36"/>
      <c r="AP16" s="36"/>
      <c r="AQ16" s="36"/>
    </row>
    <row r="17" spans="1:43">
      <c r="A17" s="4" t="s">
        <v>16</v>
      </c>
      <c r="B17" s="185" t="s">
        <v>94</v>
      </c>
      <c r="C17" s="186">
        <v>1</v>
      </c>
      <c r="D17" s="186">
        <v>1</v>
      </c>
      <c r="E17" s="186">
        <v>1</v>
      </c>
      <c r="F17" s="186">
        <v>1</v>
      </c>
      <c r="G17" s="186">
        <v>1</v>
      </c>
      <c r="H17" s="186">
        <v>1</v>
      </c>
      <c r="I17" s="28" t="s">
        <v>38</v>
      </c>
      <c r="J17" s="113">
        <f>E23</f>
        <v>20.123000000000001</v>
      </c>
      <c r="K17" s="36">
        <f>J17*(1+$C$17*(K5/J5-1))</f>
        <v>21.659925399644763</v>
      </c>
      <c r="L17" s="36">
        <f t="shared" ref="L17" si="13">K17*(1+$C$17*(L5/K5-1))</f>
        <v>22.088834813499115</v>
      </c>
      <c r="M17" s="36">
        <f t="shared" ref="M17" si="14">L17*(1+$C$17*(M5/L5-1))</f>
        <v>22.857297513321495</v>
      </c>
      <c r="N17" s="36">
        <f t="shared" ref="N17" si="15">M17*(1+$C$17*(N5/M5-1))</f>
        <v>21.445470692717588</v>
      </c>
      <c r="O17" s="36">
        <f t="shared" ref="O17" si="16">N17*(1+$C$17*(O5/N5-1))</f>
        <v>22.053092362344586</v>
      </c>
      <c r="P17" s="36">
        <f>N17*(1+$C$17*(P5/N5-1))</f>
        <v>26.342186500888104</v>
      </c>
      <c r="Q17" s="36">
        <f>P17*(1+$C$17*(Q5/P5-1))</f>
        <v>33.597904085257554</v>
      </c>
      <c r="R17" s="36">
        <f>Q17*(1+$C$17*(R5/Q5-1))</f>
        <v>42.980297513321496</v>
      </c>
      <c r="S17" s="36"/>
      <c r="T17" s="36"/>
      <c r="U17" s="36"/>
      <c r="V17" s="36"/>
      <c r="W17" s="36"/>
      <c r="X17" s="36"/>
      <c r="Y17" s="36"/>
      <c r="Z17" s="36"/>
      <c r="AA17" s="36"/>
      <c r="AB17" s="36"/>
      <c r="AC17" s="36"/>
      <c r="AD17" s="36"/>
      <c r="AE17" s="36"/>
      <c r="AF17" s="36"/>
      <c r="AG17" s="36"/>
      <c r="AH17" s="36"/>
      <c r="AI17" s="36"/>
      <c r="AJ17" s="36"/>
      <c r="AK17" s="36"/>
      <c r="AL17" s="36"/>
      <c r="AM17" s="36"/>
      <c r="AN17" s="36"/>
      <c r="AO17" s="36"/>
      <c r="AP17" s="36"/>
      <c r="AQ17" s="36"/>
    </row>
    <row r="18" spans="1:43" s="185" customFormat="1">
      <c r="A18" s="185" t="s">
        <v>16</v>
      </c>
      <c r="B18" s="185" t="s">
        <v>94</v>
      </c>
      <c r="C18" s="186">
        <v>1</v>
      </c>
      <c r="D18" s="186">
        <v>1</v>
      </c>
      <c r="E18" s="186">
        <v>1</v>
      </c>
      <c r="F18" s="186">
        <v>1</v>
      </c>
      <c r="G18" s="186">
        <v>1</v>
      </c>
      <c r="H18" s="186">
        <v>1</v>
      </c>
      <c r="I18" s="28" t="s">
        <v>38</v>
      </c>
      <c r="J18" s="113">
        <f>E24</f>
        <v>1.0701311035156249</v>
      </c>
      <c r="K18" s="36">
        <f>J18*(1+$C$18*(K5/J5-1))</f>
        <v>1.1518640297166407</v>
      </c>
      <c r="L18" s="36">
        <f t="shared" ref="L18" si="17">K18*(1+$C$18*(L5/K5-1))</f>
        <v>1.174673218423901</v>
      </c>
      <c r="M18" s="36">
        <f t="shared" ref="M18" si="18">L18*(1+$C$18*(M5/L5-1))</f>
        <v>1.2155396815244088</v>
      </c>
      <c r="N18" s="36">
        <f t="shared" ref="N18" si="19">M18*(1+$C$18*(N5/M5-1))</f>
        <v>1.1404594353630106</v>
      </c>
      <c r="O18" s="36">
        <f t="shared" ref="O18" si="20">N18*(1+$C$18*(O5/N5-1))</f>
        <v>1.1727724526982959</v>
      </c>
      <c r="P18" s="36">
        <f>N18*(1+$C$18*(P5/N5-1))</f>
        <v>1.400864339770898</v>
      </c>
      <c r="Q18" s="36">
        <f>P18*(1+$C$18*(Q5/P5-1))</f>
        <v>1.7867197820687164</v>
      </c>
      <c r="R18" s="36">
        <f>Q18*(1+$C$18*(R5/Q5-1))</f>
        <v>2.2856707850400335</v>
      </c>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row>
    <row r="19" spans="1:43">
      <c r="A19" s="4" t="s">
        <v>16</v>
      </c>
      <c r="B19" s="185"/>
      <c r="C19" s="4"/>
      <c r="D19" s="4"/>
      <c r="E19" s="4"/>
      <c r="F19" s="4"/>
      <c r="H19" s="10"/>
      <c r="I19" s="10"/>
      <c r="J19" s="10"/>
      <c r="K19" s="11"/>
      <c r="L19" s="11"/>
      <c r="N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row>
    <row r="20" spans="1:43">
      <c r="A20" s="4" t="s">
        <v>16</v>
      </c>
      <c r="B20" s="4"/>
      <c r="C20" s="4"/>
      <c r="D20" s="4"/>
      <c r="E20" s="4"/>
      <c r="F20" s="4"/>
      <c r="H20" s="10"/>
      <c r="I20" s="10"/>
      <c r="J20" s="4"/>
      <c r="K20" s="4"/>
      <c r="N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3">
      <c r="A21" s="4" t="s">
        <v>16</v>
      </c>
      <c r="B21" s="4"/>
      <c r="C21" s="5" t="s">
        <v>97</v>
      </c>
      <c r="E21" s="4" t="s">
        <v>15</v>
      </c>
      <c r="G21"/>
    </row>
    <row r="22" spans="1:43">
      <c r="A22" s="4" t="s">
        <v>16</v>
      </c>
      <c r="B22" s="186" t="str">
        <f>ITEMS_TRA!C30</f>
        <v>TAIJET</v>
      </c>
      <c r="C22" s="186" t="str">
        <f>ITEMS_TRA!D30</f>
        <v xml:space="preserve">Transport Other -  Aviation Int Jet Fuel </v>
      </c>
      <c r="D22" s="28" t="s">
        <v>38</v>
      </c>
      <c r="E22" s="174">
        <f>'[2]TS BYDem'!$J34</f>
        <v>60.368000000000002</v>
      </c>
      <c r="F22" s="6"/>
      <c r="G22"/>
      <c r="J22" s="6">
        <f>E22</f>
        <v>60.368000000000002</v>
      </c>
      <c r="K22" s="186">
        <f>(K16*K9)</f>
        <v>64.978699822380108</v>
      </c>
      <c r="L22" s="284">
        <v>68.939278175231294</v>
      </c>
      <c r="M22" s="186">
        <f t="shared" ref="M22:R22" si="21">(M16*M9)</f>
        <v>68.570756660746</v>
      </c>
      <c r="N22" s="186">
        <f t="shared" si="21"/>
        <v>64.335346358792194</v>
      </c>
      <c r="O22" s="186">
        <f t="shared" si="21"/>
        <v>66.158181172291307</v>
      </c>
      <c r="P22" s="186">
        <f t="shared" si="21"/>
        <v>79.025250444049746</v>
      </c>
      <c r="Q22" s="186">
        <f t="shared" si="21"/>
        <v>100.79204262877444</v>
      </c>
      <c r="R22" s="186">
        <f t="shared" si="21"/>
        <v>128.93875666074604</v>
      </c>
      <c r="S22" s="6"/>
      <c r="T22" s="6"/>
      <c r="U22" s="6"/>
      <c r="V22" s="6"/>
      <c r="W22" s="6"/>
      <c r="X22" s="6"/>
      <c r="Y22" s="6"/>
      <c r="Z22" s="6"/>
      <c r="AA22" s="6"/>
      <c r="AB22" s="6"/>
      <c r="AC22" s="6"/>
      <c r="AD22" s="6"/>
      <c r="AE22" s="6"/>
      <c r="AF22" s="6"/>
      <c r="AG22" s="6"/>
      <c r="AH22" s="6"/>
      <c r="AI22" s="6"/>
      <c r="AJ22" s="6"/>
      <c r="AK22" s="6"/>
      <c r="AL22" s="6"/>
      <c r="AM22" s="6"/>
      <c r="AN22" s="6"/>
      <c r="AO22" s="6"/>
      <c r="AP22" s="6"/>
      <c r="AQ22" s="6"/>
    </row>
    <row r="23" spans="1:43" s="185" customFormat="1">
      <c r="A23" s="185" t="s">
        <v>16</v>
      </c>
      <c r="B23" s="186" t="str">
        <f>ITEMS_TRA!C31</f>
        <v>TADJET</v>
      </c>
      <c r="C23" s="186" t="str">
        <f>ITEMS_TRA!D31</f>
        <v xml:space="preserve">Transport Other -  Aviation Dom Jet Fuel </v>
      </c>
      <c r="D23" s="28" t="s">
        <v>38</v>
      </c>
      <c r="E23" s="174">
        <f>'[2]TS BYDem'!$J35</f>
        <v>20.123000000000001</v>
      </c>
      <c r="F23" s="186"/>
      <c r="J23" s="186">
        <f t="shared" ref="J23:J24" si="22">E23</f>
        <v>20.123000000000001</v>
      </c>
      <c r="K23" s="186">
        <f>(K17*K10)</f>
        <v>21.659925399644763</v>
      </c>
      <c r="L23" s="285">
        <v>20.465228059152793</v>
      </c>
      <c r="M23" s="186">
        <f t="shared" ref="M23" si="23">(M17*M10)</f>
        <v>22.857297513321495</v>
      </c>
      <c r="N23" s="186">
        <f t="shared" ref="N23" si="24">(N17*N10)</f>
        <v>21.445470692717588</v>
      </c>
      <c r="O23" s="186">
        <f t="shared" ref="O23" si="25">(O17*O10)</f>
        <v>22.053092362344586</v>
      </c>
      <c r="P23" s="186">
        <f t="shared" ref="P23:R24" si="26">(P17*P10)</f>
        <v>26.342186500888104</v>
      </c>
      <c r="Q23" s="186">
        <f t="shared" si="26"/>
        <v>33.597904085257554</v>
      </c>
      <c r="R23" s="186">
        <f t="shared" si="26"/>
        <v>42.980297513321496</v>
      </c>
      <c r="S23" s="186"/>
      <c r="T23" s="186"/>
      <c r="U23" s="186"/>
      <c r="V23" s="186"/>
      <c r="W23" s="186"/>
      <c r="X23" s="186"/>
      <c r="Y23" s="186"/>
      <c r="Z23" s="186"/>
      <c r="AA23" s="186"/>
      <c r="AB23" s="186"/>
      <c r="AC23" s="186"/>
      <c r="AD23" s="186"/>
      <c r="AE23" s="186"/>
      <c r="AF23" s="186"/>
      <c r="AG23" s="186"/>
      <c r="AH23" s="186"/>
      <c r="AI23" s="186"/>
      <c r="AJ23" s="186"/>
      <c r="AK23" s="186"/>
      <c r="AL23" s="186"/>
      <c r="AM23" s="186"/>
      <c r="AN23" s="186"/>
      <c r="AO23" s="186"/>
      <c r="AP23" s="186"/>
      <c r="AQ23" s="186"/>
    </row>
    <row r="24" spans="1:43" s="185" customFormat="1">
      <c r="A24" s="185" t="s">
        <v>16</v>
      </c>
      <c r="B24" s="186" t="str">
        <f>ITEMS_TRA!C32</f>
        <v>TAOAG</v>
      </c>
      <c r="C24" s="186" t="str">
        <f>ITEMS_TRA!D32</f>
        <v>Transport Other - Aviation Gasoline</v>
      </c>
      <c r="D24" s="28" t="s">
        <v>38</v>
      </c>
      <c r="E24" s="174">
        <f>'[2]TS BYDem'!$J36</f>
        <v>1.0701311035156249</v>
      </c>
      <c r="F24" s="186"/>
      <c r="J24" s="186">
        <f t="shared" si="22"/>
        <v>1.0701311035156249</v>
      </c>
      <c r="K24" s="186">
        <f>(K18*K11)</f>
        <v>1.1518640297166407</v>
      </c>
      <c r="L24" s="286">
        <f t="shared" ref="L24" si="27">(L18*L11)</f>
        <v>1.174673218423901</v>
      </c>
      <c r="M24" s="186">
        <f>(M18*M11)</f>
        <v>1.2155396815244088</v>
      </c>
      <c r="N24" s="186">
        <f>(N18*N11)</f>
        <v>1.1404594353630106</v>
      </c>
      <c r="O24" s="186">
        <f>(O18*O11)</f>
        <v>1.1727724526982959</v>
      </c>
      <c r="P24" s="186">
        <f t="shared" si="26"/>
        <v>1.400864339770898</v>
      </c>
      <c r="Q24" s="186">
        <f t="shared" si="26"/>
        <v>1.7867197820687164</v>
      </c>
      <c r="R24" s="186">
        <f t="shared" si="26"/>
        <v>2.2856707850400335</v>
      </c>
      <c r="S24" s="186"/>
      <c r="T24" s="186"/>
      <c r="U24" s="186"/>
      <c r="V24" s="186"/>
      <c r="W24" s="186"/>
      <c r="X24" s="186"/>
      <c r="Y24" s="186"/>
      <c r="Z24" s="186"/>
      <c r="AA24" s="186"/>
      <c r="AB24" s="186"/>
      <c r="AC24" s="186"/>
      <c r="AD24" s="186"/>
      <c r="AE24" s="186"/>
      <c r="AF24" s="186"/>
      <c r="AG24" s="186"/>
      <c r="AH24" s="186"/>
      <c r="AI24" s="186"/>
      <c r="AJ24" s="186"/>
      <c r="AK24" s="186"/>
      <c r="AL24" s="186"/>
      <c r="AM24" s="186"/>
      <c r="AN24" s="186"/>
      <c r="AO24" s="186"/>
      <c r="AP24" s="186"/>
      <c r="AQ24" s="186"/>
    </row>
    <row r="25" spans="1:43" s="185" customFormat="1">
      <c r="D25" s="28"/>
      <c r="E25" s="58"/>
      <c r="F25" s="186"/>
      <c r="J25" s="186"/>
      <c r="K25" s="186"/>
      <c r="L25" s="186"/>
      <c r="N25" s="186"/>
      <c r="P25" s="186"/>
      <c r="Q25" s="186"/>
      <c r="R25" s="186"/>
      <c r="S25" s="186"/>
      <c r="T25" s="186"/>
      <c r="U25" s="186"/>
      <c r="V25" s="186"/>
      <c r="W25" s="186"/>
      <c r="X25" s="186"/>
      <c r="Y25" s="186"/>
      <c r="Z25" s="186"/>
      <c r="AA25" s="186"/>
      <c r="AB25" s="186"/>
      <c r="AC25" s="186"/>
      <c r="AD25" s="186"/>
      <c r="AE25" s="186"/>
      <c r="AF25" s="186"/>
      <c r="AG25" s="186"/>
      <c r="AH25" s="186"/>
      <c r="AI25" s="186"/>
      <c r="AJ25" s="186"/>
      <c r="AK25" s="186"/>
      <c r="AL25" s="186"/>
      <c r="AM25" s="186"/>
      <c r="AN25" s="186"/>
      <c r="AO25" s="186"/>
      <c r="AP25" s="186"/>
      <c r="AQ25" s="186"/>
    </row>
    <row r="26" spans="1:43" ht="18" thickBot="1">
      <c r="A26" s="4" t="s">
        <v>16</v>
      </c>
      <c r="B26" s="65" t="s">
        <v>601</v>
      </c>
      <c r="C26" s="20"/>
      <c r="D26" s="14"/>
      <c r="E26" s="14"/>
      <c r="F26" s="14"/>
      <c r="G26" s="14"/>
      <c r="H26" s="14"/>
      <c r="I26" s="14"/>
      <c r="J26" s="4"/>
      <c r="K26" s="4"/>
      <c r="N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3" ht="15.75" thickTop="1">
      <c r="A27" s="4" t="s">
        <v>16</v>
      </c>
      <c r="D27" s="4">
        <v>2012</v>
      </c>
      <c r="E27" s="4">
        <v>2015</v>
      </c>
      <c r="F27" s="4">
        <v>2020</v>
      </c>
      <c r="G27" s="4">
        <v>2030</v>
      </c>
      <c r="H27" s="4">
        <v>2050</v>
      </c>
      <c r="I27" s="4"/>
    </row>
    <row r="28" spans="1:43">
      <c r="A28" s="4" t="s">
        <v>16</v>
      </c>
      <c r="B28" s="186" t="s">
        <v>599</v>
      </c>
      <c r="C28" s="186" t="s">
        <v>601</v>
      </c>
      <c r="D28" s="185">
        <f>MATCH(B28,Drivers!$A$7:$A$22,0)</f>
        <v>16</v>
      </c>
      <c r="E28" s="186"/>
      <c r="F28" s="185"/>
      <c r="G28" s="185"/>
      <c r="H28" s="185"/>
      <c r="I28" s="185"/>
      <c r="J28" s="186">
        <f>INDEX(Drivers!$C$7:$AG$22,$D28,J$3)</f>
        <v>1.1399999999999999</v>
      </c>
      <c r="K28" s="186">
        <f>INDEX(Drivers!$C$7:$AG$22,$D28,K$3)</f>
        <v>1.1299999999999999</v>
      </c>
      <c r="L28" s="186">
        <f>INDEX(Drivers!$C$7:$AG$22,$D28,L$3)</f>
        <v>1.1499999999999999</v>
      </c>
      <c r="M28" s="186">
        <f>INDEX(Drivers!$C$7:$AG$22,$D28,M$3)</f>
        <v>1.0900000000000001</v>
      </c>
      <c r="N28" s="186">
        <f>INDEX(Drivers!$C$7:$AG$22,$D28,N$3)</f>
        <v>0.99</v>
      </c>
      <c r="O28" s="186">
        <f>INDEX(Drivers!$C$7:$AG$22,$D28,O$3)</f>
        <v>0.99</v>
      </c>
      <c r="P28" s="186">
        <f>INDEX(Drivers!$C$7:$AG$22,$D28,P$3)</f>
        <v>1.1599999999999999</v>
      </c>
      <c r="Q28" s="186">
        <f>INDEX(Drivers!$C$7:$AG$22,$D28,Q$3)</f>
        <v>1.65</v>
      </c>
      <c r="R28" s="186">
        <f>INDEX(Drivers!$C$7:$AG$22,$D28,R$3)</f>
        <v>2.66</v>
      </c>
      <c r="S28" s="6"/>
      <c r="T28" s="6"/>
      <c r="U28" s="6"/>
      <c r="V28" s="6"/>
      <c r="W28" s="6"/>
      <c r="X28" s="6"/>
      <c r="Y28" s="6"/>
      <c r="Z28" s="6"/>
      <c r="AA28" s="6"/>
      <c r="AB28" s="6"/>
      <c r="AC28" s="6"/>
      <c r="AD28" s="6"/>
      <c r="AE28" s="6"/>
      <c r="AF28" s="6"/>
      <c r="AG28" s="6"/>
      <c r="AH28" s="6"/>
      <c r="AI28" s="6"/>
      <c r="AJ28" s="6"/>
      <c r="AK28" s="6"/>
      <c r="AL28" s="6"/>
      <c r="AM28" s="6"/>
      <c r="AN28" s="6"/>
      <c r="AO28" s="6"/>
      <c r="AP28" s="6"/>
      <c r="AQ28" s="6"/>
    </row>
    <row r="29" spans="1:43">
      <c r="A29" s="4" t="s">
        <v>16</v>
      </c>
      <c r="F29" s="4"/>
      <c r="G29"/>
    </row>
    <row r="30" spans="1:43">
      <c r="A30" s="4" t="s">
        <v>16</v>
      </c>
      <c r="F30" s="4"/>
      <c r="G30"/>
    </row>
    <row r="31" spans="1:43" ht="15.75" thickBot="1">
      <c r="A31" s="4" t="s">
        <v>16</v>
      </c>
      <c r="B31" s="64" t="s">
        <v>155</v>
      </c>
      <c r="F31" s="4"/>
      <c r="G31"/>
      <c r="K31" s="4"/>
      <c r="N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3">
      <c r="A32" s="4" t="s">
        <v>16</v>
      </c>
      <c r="E32" s="4" t="s">
        <v>15</v>
      </c>
    </row>
    <row r="33" spans="1:78">
      <c r="A33" s="4" t="s">
        <v>16</v>
      </c>
      <c r="B33" s="4" t="s">
        <v>134</v>
      </c>
      <c r="C33" s="4" t="s">
        <v>104</v>
      </c>
      <c r="D33" t="s">
        <v>38</v>
      </c>
      <c r="E33" s="58">
        <f>'[2]TS BYDem'!$J$33</f>
        <v>0.820564128</v>
      </c>
      <c r="J33" s="186">
        <f>E33</f>
        <v>0.820564128</v>
      </c>
      <c r="K33" s="186">
        <f>763.4835/1000</f>
        <v>0.76348350000000009</v>
      </c>
      <c r="L33" s="286">
        <f>714.528/1000</f>
        <v>0.71452800000000005</v>
      </c>
      <c r="M33" s="186">
        <f>AVERAGE(L33,J33,K33)</f>
        <v>0.76619187600000005</v>
      </c>
      <c r="N33" s="186">
        <f t="shared" ref="N33:R33" si="28">AVERAGE(M33,K33,L33)</f>
        <v>0.74806779200000006</v>
      </c>
      <c r="O33" s="186">
        <f t="shared" si="28"/>
        <v>0.74292922266666672</v>
      </c>
      <c r="P33" s="186">
        <f t="shared" si="28"/>
        <v>0.75239629688888898</v>
      </c>
      <c r="Q33" s="186">
        <f t="shared" si="28"/>
        <v>0.74779777051851859</v>
      </c>
      <c r="R33" s="186">
        <f t="shared" si="28"/>
        <v>0.7477077633580248</v>
      </c>
    </row>
    <row r="34" spans="1:78">
      <c r="A34" s="4" t="s">
        <v>16</v>
      </c>
    </row>
    <row r="35" spans="1:78" ht="18" thickBot="1">
      <c r="A35" s="4" t="s">
        <v>16</v>
      </c>
      <c r="C35" s="65" t="s">
        <v>157</v>
      </c>
    </row>
    <row r="36" spans="1:78" ht="15.75" thickTop="1">
      <c r="A36" s="4" t="s">
        <v>16</v>
      </c>
      <c r="B36" s="4" t="s">
        <v>158</v>
      </c>
      <c r="C36" s="4" t="s">
        <v>159</v>
      </c>
      <c r="D36" s="28" t="s">
        <v>38</v>
      </c>
      <c r="E36" s="58">
        <f>'[2]TS BYDem'!$J$37</f>
        <v>4.5090000000000003</v>
      </c>
      <c r="J36" s="6">
        <f>E36</f>
        <v>4.5090000000000003</v>
      </c>
      <c r="K36" s="6">
        <f>K$28/J$28*J36</f>
        <v>4.4694473684210525</v>
      </c>
      <c r="L36" s="285">
        <f>0.001*(26455.61401-21947)</f>
        <v>4.5086140100000014</v>
      </c>
      <c r="M36" s="186">
        <f>M$28/J$28*J36</f>
        <v>4.3112368421052647</v>
      </c>
      <c r="N36" s="186">
        <f>N$28/K$28*K36</f>
        <v>3.9157105263157894</v>
      </c>
      <c r="O36" s="186">
        <f>O$28/L$28*L36</f>
        <v>3.8813285825217405</v>
      </c>
      <c r="P36" s="186">
        <f>P$28/N$28*N36</f>
        <v>4.5881052631578942</v>
      </c>
      <c r="Q36" s="186">
        <f>Q$28/P$28*P36</f>
        <v>6.5261842105263153</v>
      </c>
      <c r="R36" s="186">
        <f>R$28/Q$28*Q36</f>
        <v>10.521000000000001</v>
      </c>
      <c r="S36" s="6"/>
      <c r="T36" s="6"/>
      <c r="U36" s="6"/>
      <c r="V36" s="6"/>
      <c r="W36" s="6"/>
      <c r="X36" s="6"/>
      <c r="Y36" s="6"/>
      <c r="Z36" s="6"/>
      <c r="AA36" s="6"/>
      <c r="AB36" s="6"/>
      <c r="AC36" s="6"/>
      <c r="AD36" s="6"/>
      <c r="AE36" s="6"/>
      <c r="AF36" s="6"/>
      <c r="AG36" s="6"/>
      <c r="AH36" s="6"/>
      <c r="AI36" s="6"/>
      <c r="AJ36" s="6"/>
      <c r="AK36" s="6"/>
      <c r="AL36" s="6"/>
      <c r="AM36" s="6"/>
      <c r="AN36" s="6"/>
      <c r="AO36" s="6"/>
      <c r="AP36" s="6"/>
      <c r="AQ36" s="6"/>
    </row>
    <row r="37" spans="1:78">
      <c r="A37" s="4" t="s">
        <v>16</v>
      </c>
    </row>
    <row r="38" spans="1:78" s="185" customFormat="1"/>
    <row r="39" spans="1:78" s="185" customFormat="1"/>
    <row r="40" spans="1:78" s="185" customFormat="1"/>
    <row r="42" spans="1:78" s="185" customFormat="1" ht="23.25">
      <c r="A42" s="114" t="s">
        <v>16</v>
      </c>
      <c r="B42" s="118" t="s">
        <v>19</v>
      </c>
      <c r="C42" s="118" t="s">
        <v>20</v>
      </c>
      <c r="D42" s="118" t="s">
        <v>21</v>
      </c>
      <c r="E42" s="118"/>
      <c r="F42" s="118" t="s">
        <v>22</v>
      </c>
      <c r="G42" s="118" t="s">
        <v>23</v>
      </c>
      <c r="H42" s="118" t="s">
        <v>24</v>
      </c>
      <c r="I42" s="119" t="s">
        <v>25</v>
      </c>
      <c r="J42" s="188">
        <v>2012</v>
      </c>
      <c r="K42" s="188">
        <v>2013</v>
      </c>
      <c r="L42" s="188">
        <v>2014</v>
      </c>
      <c r="M42" s="188">
        <v>2015</v>
      </c>
      <c r="N42" s="188">
        <v>2016</v>
      </c>
      <c r="O42" s="188">
        <v>2017</v>
      </c>
      <c r="P42" s="188">
        <v>2018</v>
      </c>
      <c r="Q42" s="188">
        <v>2019</v>
      </c>
      <c r="R42" s="188">
        <v>2020</v>
      </c>
      <c r="S42" s="188">
        <v>2021</v>
      </c>
      <c r="T42" s="188">
        <v>2022</v>
      </c>
      <c r="U42" s="188">
        <v>2023</v>
      </c>
      <c r="V42" s="188">
        <v>2024</v>
      </c>
      <c r="W42" s="188">
        <v>2025</v>
      </c>
      <c r="X42" s="188">
        <v>2026</v>
      </c>
      <c r="Y42" s="188">
        <v>2027</v>
      </c>
      <c r="Z42" s="188">
        <v>2028</v>
      </c>
      <c r="AA42" s="188">
        <v>2029</v>
      </c>
      <c r="AB42" s="188">
        <v>2030</v>
      </c>
      <c r="AC42" s="188">
        <v>2031</v>
      </c>
      <c r="AD42" s="188">
        <v>2032</v>
      </c>
      <c r="AE42" s="188">
        <v>2033</v>
      </c>
      <c r="AF42" s="188">
        <v>2034</v>
      </c>
      <c r="AG42" s="188">
        <v>2035</v>
      </c>
      <c r="AH42" s="188">
        <v>2036</v>
      </c>
      <c r="AI42" s="188">
        <v>2037</v>
      </c>
      <c r="AJ42" s="188">
        <v>2038</v>
      </c>
      <c r="AK42" s="188">
        <v>2039</v>
      </c>
      <c r="AL42" s="188">
        <v>2040</v>
      </c>
      <c r="AM42" s="188">
        <v>2045</v>
      </c>
      <c r="AN42" s="188">
        <v>2050</v>
      </c>
      <c r="AO42" s="188">
        <v>2060</v>
      </c>
      <c r="AP42" s="188">
        <v>2070</v>
      </c>
    </row>
    <row r="43" spans="1:78" s="191" customFormat="1">
      <c r="A43" s="114" t="s">
        <v>16</v>
      </c>
      <c r="B43" s="115">
        <v>1</v>
      </c>
      <c r="C43" s="191">
        <v>2012</v>
      </c>
      <c r="D43" s="191">
        <v>2015</v>
      </c>
      <c r="E43" s="191">
        <v>2017</v>
      </c>
      <c r="F43" s="191">
        <v>2020</v>
      </c>
      <c r="G43" s="115">
        <v>2030</v>
      </c>
      <c r="H43" s="191">
        <v>2040</v>
      </c>
      <c r="I43" s="120">
        <v>2050</v>
      </c>
      <c r="J43" s="191">
        <f t="shared" ref="J43:S44" si="29">MATCH(J$42,$C$43:$I$43,$B43)</f>
        <v>1</v>
      </c>
      <c r="K43" s="191">
        <f t="shared" si="29"/>
        <v>1</v>
      </c>
      <c r="L43" s="191">
        <f t="shared" si="29"/>
        <v>1</v>
      </c>
      <c r="M43" s="191">
        <f t="shared" si="29"/>
        <v>2</v>
      </c>
      <c r="N43" s="191">
        <f t="shared" si="29"/>
        <v>2</v>
      </c>
      <c r="O43" s="191">
        <f t="shared" si="29"/>
        <v>3</v>
      </c>
      <c r="P43" s="191">
        <f t="shared" si="29"/>
        <v>3</v>
      </c>
      <c r="Q43" s="191">
        <f t="shared" si="29"/>
        <v>3</v>
      </c>
      <c r="R43" s="191">
        <f t="shared" si="29"/>
        <v>4</v>
      </c>
      <c r="S43" s="191">
        <f t="shared" si="29"/>
        <v>4</v>
      </c>
      <c r="T43" s="191">
        <f t="shared" ref="T43:AC44" si="30">MATCH(T$42,$C$43:$I$43,$B43)</f>
        <v>4</v>
      </c>
      <c r="U43" s="191">
        <f t="shared" si="30"/>
        <v>4</v>
      </c>
      <c r="V43" s="191">
        <f t="shared" si="30"/>
        <v>4</v>
      </c>
      <c r="W43" s="191">
        <f t="shared" si="30"/>
        <v>4</v>
      </c>
      <c r="X43" s="191">
        <f t="shared" si="30"/>
        <v>4</v>
      </c>
      <c r="Y43" s="191">
        <f t="shared" si="30"/>
        <v>4</v>
      </c>
      <c r="Z43" s="191">
        <f t="shared" si="30"/>
        <v>4</v>
      </c>
      <c r="AA43" s="191">
        <f t="shared" si="30"/>
        <v>4</v>
      </c>
      <c r="AB43" s="191">
        <f t="shared" si="30"/>
        <v>5</v>
      </c>
      <c r="AC43" s="191">
        <f t="shared" si="30"/>
        <v>5</v>
      </c>
      <c r="AD43" s="191">
        <f t="shared" ref="AD43:AP44" si="31">MATCH(AD$42,$C$43:$I$43,$B43)</f>
        <v>5</v>
      </c>
      <c r="AE43" s="191">
        <f t="shared" si="31"/>
        <v>5</v>
      </c>
      <c r="AF43" s="191">
        <f t="shared" si="31"/>
        <v>5</v>
      </c>
      <c r="AG43" s="191">
        <f t="shared" si="31"/>
        <v>5</v>
      </c>
      <c r="AH43" s="191">
        <f t="shared" si="31"/>
        <v>5</v>
      </c>
      <c r="AI43" s="191">
        <f t="shared" si="31"/>
        <v>5</v>
      </c>
      <c r="AJ43" s="191">
        <f t="shared" si="31"/>
        <v>5</v>
      </c>
      <c r="AK43" s="191">
        <f t="shared" si="31"/>
        <v>5</v>
      </c>
      <c r="AL43" s="191">
        <f t="shared" si="31"/>
        <v>6</v>
      </c>
      <c r="AM43" s="191">
        <f t="shared" si="31"/>
        <v>6</v>
      </c>
      <c r="AN43" s="191">
        <f t="shared" si="31"/>
        <v>7</v>
      </c>
      <c r="AO43" s="191">
        <f t="shared" si="31"/>
        <v>7</v>
      </c>
      <c r="AP43" s="191">
        <f t="shared" si="31"/>
        <v>7</v>
      </c>
      <c r="AR43" s="185"/>
      <c r="AS43" s="185"/>
      <c r="AT43" s="185"/>
      <c r="AU43" s="185"/>
      <c r="AV43" s="185"/>
      <c r="AW43" s="185"/>
      <c r="AX43" s="185"/>
      <c r="AY43" s="185"/>
      <c r="AZ43" s="185"/>
      <c r="BA43" s="185"/>
      <c r="BB43" s="185"/>
      <c r="BC43" s="185"/>
      <c r="BD43" s="185"/>
      <c r="BE43" s="185"/>
      <c r="BF43" s="185"/>
      <c r="BG43" s="185"/>
      <c r="BH43" s="185"/>
      <c r="BI43" s="185"/>
      <c r="BJ43" s="185"/>
      <c r="BK43" s="185"/>
      <c r="BL43" s="185"/>
      <c r="BM43" s="185"/>
      <c r="BN43" s="185"/>
      <c r="BO43" s="185"/>
      <c r="BP43" s="185"/>
      <c r="BQ43" s="185"/>
      <c r="BR43" s="185"/>
      <c r="BS43" s="185"/>
      <c r="BT43" s="185"/>
      <c r="BU43" s="185"/>
      <c r="BV43" s="185"/>
      <c r="BW43" s="185"/>
      <c r="BX43" s="185"/>
      <c r="BY43" s="185"/>
      <c r="BZ43" s="185"/>
    </row>
    <row r="44" spans="1:78" s="187" customFormat="1">
      <c r="A44" s="40" t="s">
        <v>16</v>
      </c>
      <c r="B44" s="188">
        <v>0</v>
      </c>
      <c r="C44" s="187">
        <f t="shared" ref="C44:H44" si="32">INDEX($C43:$I43,0,COUNT($C43:$I43)-C45)</f>
        <v>2050</v>
      </c>
      <c r="D44" s="187">
        <f t="shared" si="32"/>
        <v>2040</v>
      </c>
      <c r="E44" s="187">
        <f t="shared" si="32"/>
        <v>2030</v>
      </c>
      <c r="F44" s="187">
        <f t="shared" si="32"/>
        <v>2020</v>
      </c>
      <c r="G44" s="187">
        <f t="shared" si="32"/>
        <v>2017</v>
      </c>
      <c r="H44" s="187">
        <f t="shared" si="32"/>
        <v>2015</v>
      </c>
      <c r="I44" s="121">
        <v>2012</v>
      </c>
      <c r="J44" s="40">
        <f t="shared" si="29"/>
        <v>1</v>
      </c>
      <c r="K44" s="187" t="e">
        <f t="shared" si="29"/>
        <v>#N/A</v>
      </c>
      <c r="L44" s="187" t="e">
        <f t="shared" si="29"/>
        <v>#N/A</v>
      </c>
      <c r="M44" s="187">
        <f t="shared" si="29"/>
        <v>2</v>
      </c>
      <c r="N44" s="187" t="e">
        <f t="shared" si="29"/>
        <v>#N/A</v>
      </c>
      <c r="O44" s="187">
        <f t="shared" si="29"/>
        <v>3</v>
      </c>
      <c r="P44" s="187" t="e">
        <f t="shared" si="29"/>
        <v>#N/A</v>
      </c>
      <c r="Q44" s="187" t="e">
        <f t="shared" si="29"/>
        <v>#N/A</v>
      </c>
      <c r="R44" s="187">
        <f t="shared" si="29"/>
        <v>4</v>
      </c>
      <c r="S44" s="187" t="e">
        <f t="shared" si="29"/>
        <v>#N/A</v>
      </c>
      <c r="T44" s="187" t="e">
        <f t="shared" si="30"/>
        <v>#N/A</v>
      </c>
      <c r="U44" s="187" t="e">
        <f t="shared" si="30"/>
        <v>#N/A</v>
      </c>
      <c r="V44" s="187" t="e">
        <f t="shared" si="30"/>
        <v>#N/A</v>
      </c>
      <c r="W44" s="187" t="e">
        <f t="shared" si="30"/>
        <v>#N/A</v>
      </c>
      <c r="X44" s="187" t="e">
        <f t="shared" si="30"/>
        <v>#N/A</v>
      </c>
      <c r="Y44" s="187" t="e">
        <f t="shared" si="30"/>
        <v>#N/A</v>
      </c>
      <c r="Z44" s="187" t="e">
        <f t="shared" si="30"/>
        <v>#N/A</v>
      </c>
      <c r="AA44" s="187" t="e">
        <f t="shared" si="30"/>
        <v>#N/A</v>
      </c>
      <c r="AB44" s="187">
        <f t="shared" si="30"/>
        <v>5</v>
      </c>
      <c r="AC44" s="187" t="e">
        <f t="shared" si="30"/>
        <v>#N/A</v>
      </c>
      <c r="AD44" s="187" t="e">
        <f t="shared" si="31"/>
        <v>#N/A</v>
      </c>
      <c r="AE44" s="187" t="e">
        <f t="shared" si="31"/>
        <v>#N/A</v>
      </c>
      <c r="AF44" s="187" t="e">
        <f t="shared" si="31"/>
        <v>#N/A</v>
      </c>
      <c r="AG44" s="187" t="e">
        <f t="shared" si="31"/>
        <v>#N/A</v>
      </c>
      <c r="AH44" s="187" t="e">
        <f t="shared" si="31"/>
        <v>#N/A</v>
      </c>
      <c r="AI44" s="187" t="e">
        <f t="shared" si="31"/>
        <v>#N/A</v>
      </c>
      <c r="AJ44" s="187" t="e">
        <f t="shared" si="31"/>
        <v>#N/A</v>
      </c>
      <c r="AK44" s="187" t="e">
        <f t="shared" si="31"/>
        <v>#N/A</v>
      </c>
      <c r="AL44" s="187">
        <f t="shared" si="31"/>
        <v>6</v>
      </c>
      <c r="AM44" s="187" t="e">
        <f t="shared" si="31"/>
        <v>#N/A</v>
      </c>
      <c r="AN44" s="187">
        <f t="shared" si="31"/>
        <v>7</v>
      </c>
      <c r="AO44" s="187" t="e">
        <f t="shared" si="31"/>
        <v>#N/A</v>
      </c>
      <c r="AP44" s="187" t="e">
        <f t="shared" si="31"/>
        <v>#N/A</v>
      </c>
      <c r="AR44" s="185"/>
      <c r="AS44" s="185"/>
      <c r="AT44" s="185"/>
      <c r="AU44" s="185"/>
      <c r="AV44" s="185"/>
      <c r="AW44" s="185"/>
      <c r="AX44" s="185"/>
      <c r="AY44" s="185"/>
      <c r="AZ44" s="185"/>
      <c r="BA44" s="185"/>
      <c r="BB44" s="185"/>
      <c r="BC44" s="185"/>
      <c r="BD44" s="185"/>
      <c r="BE44" s="185"/>
      <c r="BF44" s="185"/>
      <c r="BG44" s="185"/>
      <c r="BH44" s="185"/>
      <c r="BI44" s="185"/>
      <c r="BJ44" s="185"/>
      <c r="BK44" s="185"/>
      <c r="BL44" s="185"/>
      <c r="BM44" s="185"/>
      <c r="BN44" s="185"/>
      <c r="BO44" s="185"/>
      <c r="BP44" s="185"/>
      <c r="BQ44" s="185"/>
      <c r="BR44" s="185"/>
      <c r="BS44" s="185"/>
      <c r="BT44" s="185"/>
      <c r="BU44" s="185"/>
      <c r="BV44" s="185"/>
      <c r="BW44" s="185"/>
      <c r="BX44" s="185"/>
      <c r="BY44" s="185"/>
      <c r="BZ44" s="185"/>
    </row>
    <row r="45" spans="1:78" s="187" customFormat="1">
      <c r="A45" s="40" t="s">
        <v>16</v>
      </c>
      <c r="B45" s="188">
        <v>-1</v>
      </c>
      <c r="C45" s="187">
        <v>0</v>
      </c>
      <c r="D45" s="187">
        <v>1</v>
      </c>
      <c r="E45" s="188">
        <v>2</v>
      </c>
      <c r="F45" s="187">
        <v>3</v>
      </c>
      <c r="G45" s="187">
        <v>4</v>
      </c>
      <c r="H45" s="187">
        <v>5</v>
      </c>
      <c r="I45" s="187">
        <v>6</v>
      </c>
      <c r="J45" s="40">
        <f t="shared" ref="J45:AP45" si="33">MATCH(J$42,$C$44:$I$44,$B45)</f>
        <v>7</v>
      </c>
      <c r="K45" s="187">
        <f t="shared" si="33"/>
        <v>6</v>
      </c>
      <c r="L45" s="187">
        <f t="shared" si="33"/>
        <v>6</v>
      </c>
      <c r="M45" s="187">
        <f t="shared" si="33"/>
        <v>6</v>
      </c>
      <c r="N45" s="187">
        <f t="shared" si="33"/>
        <v>5</v>
      </c>
      <c r="O45" s="187">
        <f t="shared" si="33"/>
        <v>5</v>
      </c>
      <c r="P45" s="187">
        <f t="shared" si="33"/>
        <v>4</v>
      </c>
      <c r="Q45" s="187">
        <f t="shared" si="33"/>
        <v>4</v>
      </c>
      <c r="R45" s="187">
        <f t="shared" si="33"/>
        <v>4</v>
      </c>
      <c r="S45" s="187">
        <f t="shared" si="33"/>
        <v>3</v>
      </c>
      <c r="T45" s="187">
        <f t="shared" si="33"/>
        <v>3</v>
      </c>
      <c r="U45" s="187">
        <f t="shared" si="33"/>
        <v>3</v>
      </c>
      <c r="V45" s="187">
        <f t="shared" si="33"/>
        <v>3</v>
      </c>
      <c r="W45" s="187">
        <f t="shared" si="33"/>
        <v>3</v>
      </c>
      <c r="X45" s="187">
        <f t="shared" si="33"/>
        <v>3</v>
      </c>
      <c r="Y45" s="187">
        <f t="shared" si="33"/>
        <v>3</v>
      </c>
      <c r="Z45" s="187">
        <f t="shared" si="33"/>
        <v>3</v>
      </c>
      <c r="AA45" s="187">
        <f t="shared" si="33"/>
        <v>3</v>
      </c>
      <c r="AB45" s="187">
        <f t="shared" si="33"/>
        <v>3</v>
      </c>
      <c r="AC45" s="187">
        <f t="shared" si="33"/>
        <v>2</v>
      </c>
      <c r="AD45" s="187">
        <f t="shared" si="33"/>
        <v>2</v>
      </c>
      <c r="AE45" s="187">
        <f t="shared" si="33"/>
        <v>2</v>
      </c>
      <c r="AF45" s="187">
        <f t="shared" si="33"/>
        <v>2</v>
      </c>
      <c r="AG45" s="187">
        <f t="shared" si="33"/>
        <v>2</v>
      </c>
      <c r="AH45" s="187">
        <f t="shared" si="33"/>
        <v>2</v>
      </c>
      <c r="AI45" s="187">
        <f t="shared" si="33"/>
        <v>2</v>
      </c>
      <c r="AJ45" s="187">
        <f t="shared" si="33"/>
        <v>2</v>
      </c>
      <c r="AK45" s="187">
        <f t="shared" si="33"/>
        <v>2</v>
      </c>
      <c r="AL45" s="187">
        <f t="shared" si="33"/>
        <v>2</v>
      </c>
      <c r="AM45" s="187">
        <f t="shared" si="33"/>
        <v>1</v>
      </c>
      <c r="AN45" s="187">
        <f t="shared" si="33"/>
        <v>1</v>
      </c>
      <c r="AO45" s="187" t="e">
        <f t="shared" si="33"/>
        <v>#N/A</v>
      </c>
      <c r="AP45" s="187" t="e">
        <f t="shared" si="33"/>
        <v>#N/A</v>
      </c>
      <c r="AR45" s="185"/>
      <c r="AS45" s="185"/>
      <c r="AT45" s="185"/>
      <c r="AU45" s="185"/>
      <c r="AV45" s="185"/>
      <c r="AW45" s="185"/>
      <c r="AX45" s="185"/>
      <c r="AY45" s="185"/>
      <c r="AZ45" s="185"/>
      <c r="BA45" s="185"/>
      <c r="BB45" s="185"/>
      <c r="BC45" s="185"/>
      <c r="BD45" s="185"/>
      <c r="BE45" s="185"/>
      <c r="BF45" s="185"/>
      <c r="BG45" s="185"/>
      <c r="BH45" s="185"/>
      <c r="BI45" s="185"/>
      <c r="BJ45" s="185"/>
      <c r="BK45" s="185"/>
      <c r="BL45" s="185"/>
      <c r="BM45" s="185"/>
      <c r="BN45" s="185"/>
      <c r="BO45" s="185"/>
      <c r="BP45" s="185"/>
      <c r="BQ45" s="185"/>
      <c r="BR45" s="185"/>
      <c r="BS45" s="185"/>
      <c r="BT45" s="185"/>
      <c r="BU45" s="185"/>
      <c r="BV45" s="185"/>
      <c r="BW45" s="185"/>
      <c r="BX45" s="185"/>
      <c r="BY45" s="185"/>
      <c r="BZ45" s="185"/>
    </row>
    <row r="46" spans="1:78" s="117" customFormat="1">
      <c r="A46" s="116" t="s">
        <v>16</v>
      </c>
      <c r="I46" s="122"/>
      <c r="J46" s="189">
        <f t="shared" ref="J46:K46" si="34">IF(ISNA(J43),-1,IF(ISNA(J45),99,IF(ISNA(J44),J43,0)))</f>
        <v>0</v>
      </c>
      <c r="K46" s="189">
        <f t="shared" si="34"/>
        <v>1</v>
      </c>
      <c r="L46" s="189">
        <f t="shared" ref="L46:AP46" si="35">IF(ISNA(L43),-1,IF(ISNA(L45),99,IF(ISNA(L44),L43,0)))</f>
        <v>1</v>
      </c>
      <c r="M46" s="189">
        <f t="shared" si="35"/>
        <v>0</v>
      </c>
      <c r="N46" s="189">
        <f t="shared" si="35"/>
        <v>2</v>
      </c>
      <c r="O46" s="189">
        <f t="shared" si="35"/>
        <v>0</v>
      </c>
      <c r="P46" s="189">
        <f t="shared" si="35"/>
        <v>3</v>
      </c>
      <c r="Q46" s="189">
        <f t="shared" si="35"/>
        <v>3</v>
      </c>
      <c r="R46" s="189">
        <f t="shared" si="35"/>
        <v>0</v>
      </c>
      <c r="S46" s="189">
        <f t="shared" si="35"/>
        <v>4</v>
      </c>
      <c r="T46" s="189">
        <f t="shared" si="35"/>
        <v>4</v>
      </c>
      <c r="U46" s="189">
        <f t="shared" si="35"/>
        <v>4</v>
      </c>
      <c r="V46" s="189">
        <f t="shared" si="35"/>
        <v>4</v>
      </c>
      <c r="W46" s="189">
        <f t="shared" si="35"/>
        <v>4</v>
      </c>
      <c r="X46" s="189">
        <f t="shared" si="35"/>
        <v>4</v>
      </c>
      <c r="Y46" s="189">
        <f t="shared" si="35"/>
        <v>4</v>
      </c>
      <c r="Z46" s="189">
        <f t="shared" si="35"/>
        <v>4</v>
      </c>
      <c r="AA46" s="189">
        <f t="shared" si="35"/>
        <v>4</v>
      </c>
      <c r="AB46" s="189">
        <f t="shared" si="35"/>
        <v>0</v>
      </c>
      <c r="AC46" s="189">
        <f t="shared" si="35"/>
        <v>5</v>
      </c>
      <c r="AD46" s="189">
        <f t="shared" si="35"/>
        <v>5</v>
      </c>
      <c r="AE46" s="189">
        <f t="shared" si="35"/>
        <v>5</v>
      </c>
      <c r="AF46" s="189">
        <f t="shared" si="35"/>
        <v>5</v>
      </c>
      <c r="AG46" s="189">
        <f t="shared" si="35"/>
        <v>5</v>
      </c>
      <c r="AH46" s="189">
        <f t="shared" si="35"/>
        <v>5</v>
      </c>
      <c r="AI46" s="189">
        <f t="shared" si="35"/>
        <v>5</v>
      </c>
      <c r="AJ46" s="189">
        <f t="shared" si="35"/>
        <v>5</v>
      </c>
      <c r="AK46" s="189">
        <f t="shared" si="35"/>
        <v>5</v>
      </c>
      <c r="AL46" s="189">
        <f t="shared" si="35"/>
        <v>0</v>
      </c>
      <c r="AM46" s="189">
        <f t="shared" si="35"/>
        <v>6</v>
      </c>
      <c r="AN46" s="189">
        <f t="shared" si="35"/>
        <v>0</v>
      </c>
      <c r="AO46" s="189">
        <f t="shared" si="35"/>
        <v>99</v>
      </c>
      <c r="AP46" s="189">
        <f t="shared" si="35"/>
        <v>99</v>
      </c>
      <c r="AR46" s="185"/>
      <c r="AS46" s="185"/>
      <c r="AT46" s="185"/>
      <c r="AU46" s="185"/>
      <c r="AV46" s="185"/>
      <c r="AW46" s="185"/>
      <c r="AX46" s="185"/>
      <c r="AY46" s="185"/>
      <c r="AZ46" s="185"/>
      <c r="BA46" s="185"/>
      <c r="BB46" s="185"/>
      <c r="BC46" s="185"/>
      <c r="BD46" s="185"/>
      <c r="BE46" s="185"/>
      <c r="BF46" s="185"/>
      <c r="BG46" s="185"/>
      <c r="BH46" s="185"/>
      <c r="BI46" s="185"/>
      <c r="BJ46" s="185"/>
      <c r="BK46" s="185"/>
      <c r="BL46" s="185"/>
      <c r="BM46" s="185"/>
      <c r="BN46" s="185"/>
      <c r="BO46" s="185"/>
      <c r="BP46" s="185"/>
      <c r="BQ46" s="185"/>
      <c r="BR46" s="185"/>
      <c r="BS46" s="185"/>
      <c r="BT46" s="185"/>
      <c r="BU46" s="185"/>
      <c r="BV46" s="185"/>
      <c r="BW46" s="185"/>
      <c r="BX46" s="185"/>
      <c r="BY46" s="185"/>
      <c r="BZ46" s="185"/>
    </row>
    <row r="47" spans="1:78" s="185" customFormat="1">
      <c r="A47" s="40" t="s">
        <v>125</v>
      </c>
      <c r="B47" s="123" t="str">
        <f t="shared" ref="B47:B51" si="36">IF(A47="*","","COM_PROJ")</f>
        <v>COM_PROJ</v>
      </c>
      <c r="C47" s="124" t="str">
        <f t="shared" ref="C47:C51" si="37">IF($A47="*","","-")</f>
        <v>-</v>
      </c>
      <c r="D47" s="57" t="s">
        <v>134</v>
      </c>
      <c r="E47" s="124" t="str">
        <f t="shared" ref="E47:H51" si="38">IF($A47="*","","-")</f>
        <v>-</v>
      </c>
      <c r="F47" s="124" t="str">
        <f t="shared" si="38"/>
        <v>-</v>
      </c>
      <c r="G47" s="124" t="str">
        <f t="shared" si="38"/>
        <v>-</v>
      </c>
      <c r="H47" s="124" t="str">
        <f t="shared" si="38"/>
        <v>-</v>
      </c>
      <c r="I47" s="125">
        <f t="shared" ref="I47:I51" si="39">IF(A47="*","",0)</f>
        <v>0</v>
      </c>
      <c r="J47" s="186">
        <f>J33</f>
        <v>0.820564128</v>
      </c>
      <c r="K47" s="186">
        <f t="shared" ref="K47:AL47" si="40">IF(K$46=-1,L47,IF(K$46=99,J47,IF(K$46=0,INDEX($J33:$R33,0,K$44),(INDEX($J33:$R33,0,K$46+1)-INDEX($J33:$R33,0,K$46))/(INDEX($J$4:$R$4,0,K$46+1)-INDEX($J$4:$R$4,0,K$46))+J47)))</f>
        <v>0.80153725200000003</v>
      </c>
      <c r="L47" s="186">
        <f t="shared" si="40"/>
        <v>0.78251037600000006</v>
      </c>
      <c r="M47" s="186">
        <f t="shared" si="40"/>
        <v>0.76348350000000009</v>
      </c>
      <c r="N47" s="186">
        <f t="shared" si="40"/>
        <v>0.73900575000000002</v>
      </c>
      <c r="O47" s="186">
        <f t="shared" si="40"/>
        <v>0.71452800000000005</v>
      </c>
      <c r="P47" s="186">
        <f t="shared" si="40"/>
        <v>0.74035993800000011</v>
      </c>
      <c r="Q47" s="186">
        <f t="shared" si="40"/>
        <v>0.76619187600000016</v>
      </c>
      <c r="R47" s="186">
        <f t="shared" si="40"/>
        <v>0.76619187600000005</v>
      </c>
      <c r="S47" s="186">
        <f t="shared" si="40"/>
        <v>0.74806779200000006</v>
      </c>
      <c r="T47" s="186">
        <f t="shared" si="40"/>
        <v>0.72994370800000008</v>
      </c>
      <c r="U47" s="186">
        <f t="shared" si="40"/>
        <v>0.7118196240000001</v>
      </c>
      <c r="V47" s="186">
        <f t="shared" si="40"/>
        <v>0.69369554000000011</v>
      </c>
      <c r="W47" s="186">
        <f t="shared" si="40"/>
        <v>0.67557145600000013</v>
      </c>
      <c r="X47" s="186">
        <f t="shared" si="40"/>
        <v>0.65744737200000014</v>
      </c>
      <c r="Y47" s="186">
        <f t="shared" si="40"/>
        <v>0.63932328800000016</v>
      </c>
      <c r="Z47" s="186">
        <f t="shared" si="40"/>
        <v>0.62119920400000017</v>
      </c>
      <c r="AA47" s="186">
        <f t="shared" si="40"/>
        <v>0.60307512000000019</v>
      </c>
      <c r="AB47" s="186">
        <f t="shared" si="40"/>
        <v>0.74806779200000006</v>
      </c>
      <c r="AC47" s="186">
        <f t="shared" si="40"/>
        <v>0.74292922266666672</v>
      </c>
      <c r="AD47" s="186">
        <f t="shared" si="40"/>
        <v>0.73779065333333338</v>
      </c>
      <c r="AE47" s="186">
        <f t="shared" si="40"/>
        <v>0.73265208400000004</v>
      </c>
      <c r="AF47" s="186">
        <f t="shared" si="40"/>
        <v>0.72751351466666669</v>
      </c>
      <c r="AG47" s="186">
        <f t="shared" si="40"/>
        <v>0.72237494533333335</v>
      </c>
      <c r="AH47" s="186">
        <f t="shared" si="40"/>
        <v>0.71723637600000001</v>
      </c>
      <c r="AI47" s="186">
        <f t="shared" si="40"/>
        <v>0.71209780666666667</v>
      </c>
      <c r="AJ47" s="186">
        <f t="shared" si="40"/>
        <v>0.70695923733333332</v>
      </c>
      <c r="AK47" s="186">
        <f t="shared" si="40"/>
        <v>0.70182066799999998</v>
      </c>
      <c r="AL47" s="186">
        <f t="shared" si="40"/>
        <v>0.74292922266666672</v>
      </c>
      <c r="AM47" s="215">
        <f>(AL47+AN47)/2</f>
        <v>0.74766275977777785</v>
      </c>
      <c r="AN47" s="186">
        <f>IF(AN$46=-1,AO47,IF(AN$46=99,AM47,IF(AN$46=0,INDEX($J33:$R33,0,AN$44),(INDEX($J33:$R33,0,AN$46+1)-INDEX($J33:$R33,0,AN$46))/(INDEX($J$4:$R$4,0,AN$46+1)-INDEX($J$4:$R$4,0,AN$46))+AM47)))</f>
        <v>0.75239629688888898</v>
      </c>
      <c r="AO47" s="186">
        <f>IF(AO$46=-1,AP47,IF(AO$46=99,AN47,IF(AO$46=0,INDEX($J33:$R33,0,AO$44),(INDEX($J33:$R33,0,AO$46+1)-INDEX($J33:$R33,0,AO$46))/(INDEX($J$4:$R$4,0,AO$46+1)-INDEX($J$4:$R$4,0,AO$46))+AN47)))</f>
        <v>0.75239629688888898</v>
      </c>
      <c r="AP47" s="186">
        <f>IF(AP$46=-1,AR47,IF(AP$46=99,AO47,IF(AP$46=0,INDEX($J33:$R33,0,AP$44),(INDEX($J33:$R33,0,AP$46+1)-INDEX($J33:$R33,0,AP$46))/(INDEX($J$4:$R$4,0,AP$46+1)-INDEX($J$4:$R$4,0,AP$46))+AO47)))</f>
        <v>0.75239629688888898</v>
      </c>
    </row>
    <row r="48" spans="1:78" s="185" customFormat="1">
      <c r="A48" s="40"/>
      <c r="B48" s="123" t="str">
        <f t="shared" si="36"/>
        <v>COM_PROJ</v>
      </c>
      <c r="C48" s="124" t="str">
        <f t="shared" si="37"/>
        <v>-</v>
      </c>
      <c r="D48" s="57" t="str">
        <f>B22</f>
        <v>TAIJET</v>
      </c>
      <c r="E48" s="124" t="str">
        <f t="shared" si="38"/>
        <v>-</v>
      </c>
      <c r="F48" s="124" t="str">
        <f t="shared" si="38"/>
        <v>-</v>
      </c>
      <c r="G48" s="124" t="str">
        <f t="shared" si="38"/>
        <v>-</v>
      </c>
      <c r="H48" s="124" t="str">
        <f t="shared" si="38"/>
        <v>-</v>
      </c>
      <c r="I48" s="125">
        <f t="shared" si="39"/>
        <v>0</v>
      </c>
      <c r="J48" s="186">
        <f>J22</f>
        <v>60.368000000000002</v>
      </c>
      <c r="K48" s="186">
        <f t="shared" ref="K48:AL48" si="41">IF(K$46=-1,L48,IF(K$46=99,J48,IF(K$46=0,INDEX($J22:$R22,0,K$44),(INDEX($J22:$R22,0,K$46+1)-INDEX($J22:$R22,0,K$46))/(INDEX($J$4:$R$4,0,K$46+1)-INDEX($J$4:$R$4,0,K$46))+J48)))</f>
        <v>61.904899940793371</v>
      </c>
      <c r="L48" s="186">
        <f t="shared" si="41"/>
        <v>63.441799881586739</v>
      </c>
      <c r="M48" s="186">
        <f t="shared" si="41"/>
        <v>64.978699822380108</v>
      </c>
      <c r="N48" s="186">
        <f t="shared" si="41"/>
        <v>66.958988998805694</v>
      </c>
      <c r="O48" s="186">
        <f t="shared" si="41"/>
        <v>68.939278175231294</v>
      </c>
      <c r="P48" s="186">
        <f t="shared" si="41"/>
        <v>68.755017417988654</v>
      </c>
      <c r="Q48" s="186">
        <f t="shared" si="41"/>
        <v>68.570756660746014</v>
      </c>
      <c r="R48" s="186">
        <f t="shared" si="41"/>
        <v>68.570756660746</v>
      </c>
      <c r="S48" s="186">
        <f t="shared" si="41"/>
        <v>64.335346358792194</v>
      </c>
      <c r="T48" s="186">
        <f t="shared" si="41"/>
        <v>60.099936056838388</v>
      </c>
      <c r="U48" s="186">
        <f t="shared" si="41"/>
        <v>55.864525754884582</v>
      </c>
      <c r="V48" s="186">
        <f t="shared" si="41"/>
        <v>51.629115452930776</v>
      </c>
      <c r="W48" s="186">
        <f t="shared" si="41"/>
        <v>47.39370515097697</v>
      </c>
      <c r="X48" s="186">
        <f t="shared" si="41"/>
        <v>43.158294849023164</v>
      </c>
      <c r="Y48" s="186">
        <f t="shared" si="41"/>
        <v>38.922884547069359</v>
      </c>
      <c r="Z48" s="186">
        <f t="shared" si="41"/>
        <v>34.687474245115553</v>
      </c>
      <c r="AA48" s="186">
        <f t="shared" si="41"/>
        <v>30.452063943161747</v>
      </c>
      <c r="AB48" s="186">
        <f t="shared" si="41"/>
        <v>64.335346358792194</v>
      </c>
      <c r="AC48" s="186">
        <f t="shared" si="41"/>
        <v>66.158181172291307</v>
      </c>
      <c r="AD48" s="186">
        <f t="shared" si="41"/>
        <v>67.981015985790421</v>
      </c>
      <c r="AE48" s="186">
        <f t="shared" si="41"/>
        <v>69.803850799289535</v>
      </c>
      <c r="AF48" s="186">
        <f t="shared" si="41"/>
        <v>71.626685612788648</v>
      </c>
      <c r="AG48" s="186">
        <f t="shared" si="41"/>
        <v>73.449520426287762</v>
      </c>
      <c r="AH48" s="186">
        <f t="shared" si="41"/>
        <v>75.272355239786876</v>
      </c>
      <c r="AI48" s="186">
        <f t="shared" si="41"/>
        <v>77.09519005328599</v>
      </c>
      <c r="AJ48" s="186">
        <f t="shared" si="41"/>
        <v>78.918024866785103</v>
      </c>
      <c r="AK48" s="186">
        <f t="shared" si="41"/>
        <v>80.740859680284217</v>
      </c>
      <c r="AL48" s="186">
        <f t="shared" si="41"/>
        <v>66.158181172291307</v>
      </c>
      <c r="AM48" s="215">
        <f t="shared" ref="AM48:AM51" si="42">(AL48+AN48)/2</f>
        <v>72.591715808170534</v>
      </c>
      <c r="AN48" s="186">
        <f t="shared" ref="AN48:AO50" si="43">IF(AN$46=-1,AO48,IF(AN$46=99,AM48,IF(AN$46=0,INDEX($J22:$R22,0,AN$44),(INDEX($J22:$R22,0,AN$46+1)-INDEX($J22:$R22,0,AN$46))/(INDEX($J$4:$R$4,0,AN$46+1)-INDEX($J$4:$R$4,0,AN$46))+AM48)))</f>
        <v>79.025250444049746</v>
      </c>
      <c r="AO48" s="186">
        <f t="shared" si="43"/>
        <v>79.025250444049746</v>
      </c>
      <c r="AP48" s="186">
        <f>IF(AP$46=-1,AR48,IF(AP$46=99,AO48,IF(AP$46=0,INDEX($J22:$R22,0,AP$44),(INDEX($J22:$R22,0,AP$46+1)-INDEX($J22:$R22,0,AP$46))/(INDEX($J$4:$R$4,0,AP$46+1)-INDEX($J$4:$R$4,0,AP$46))+AO48)))</f>
        <v>79.025250444049746</v>
      </c>
    </row>
    <row r="49" spans="1:42" s="185" customFormat="1">
      <c r="A49" s="40"/>
      <c r="B49" s="123" t="str">
        <f t="shared" ref="B49:B50" si="44">IF(A49="*","","COM_PROJ")</f>
        <v>COM_PROJ</v>
      </c>
      <c r="C49" s="124" t="str">
        <f t="shared" si="37"/>
        <v>-</v>
      </c>
      <c r="D49" s="57" t="str">
        <f t="shared" ref="D49:D50" si="45">B23</f>
        <v>TADJET</v>
      </c>
      <c r="E49" s="124" t="str">
        <f t="shared" si="38"/>
        <v>-</v>
      </c>
      <c r="F49" s="124" t="str">
        <f t="shared" si="38"/>
        <v>-</v>
      </c>
      <c r="G49" s="124" t="str">
        <f t="shared" si="38"/>
        <v>-</v>
      </c>
      <c r="H49" s="124" t="str">
        <f t="shared" si="38"/>
        <v>-</v>
      </c>
      <c r="I49" s="125">
        <f t="shared" ref="I49:I50" si="46">IF(A49="*","",0)</f>
        <v>0</v>
      </c>
      <c r="J49" s="186">
        <f t="shared" ref="J49:J50" si="47">J23</f>
        <v>20.123000000000001</v>
      </c>
      <c r="K49" s="186">
        <f t="shared" ref="K49:AL49" si="48">IF(K$46=-1,L49,IF(K$46=99,J49,IF(K$46=0,INDEX($J23:$R23,0,K$44),(INDEX($J23:$R23,0,K$46+1)-INDEX($J23:$R23,0,K$46))/(INDEX($J$4:$R$4,0,K$46+1)-INDEX($J$4:$R$4,0,K$46))+J49)))</f>
        <v>20.635308466548256</v>
      </c>
      <c r="L49" s="186">
        <f t="shared" si="48"/>
        <v>21.147616933096511</v>
      </c>
      <c r="M49" s="186">
        <f t="shared" si="48"/>
        <v>21.659925399644763</v>
      </c>
      <c r="N49" s="186">
        <f t="shared" si="48"/>
        <v>21.062576729398778</v>
      </c>
      <c r="O49" s="186">
        <f t="shared" si="48"/>
        <v>20.465228059152793</v>
      </c>
      <c r="P49" s="186">
        <f t="shared" si="48"/>
        <v>21.661262786237145</v>
      </c>
      <c r="Q49" s="186">
        <f t="shared" si="48"/>
        <v>22.857297513321498</v>
      </c>
      <c r="R49" s="186">
        <f t="shared" si="48"/>
        <v>22.857297513321495</v>
      </c>
      <c r="S49" s="186">
        <f t="shared" si="48"/>
        <v>21.445470692717588</v>
      </c>
      <c r="T49" s="186">
        <f t="shared" si="48"/>
        <v>20.033643872113682</v>
      </c>
      <c r="U49" s="186">
        <f t="shared" si="48"/>
        <v>18.621817051509776</v>
      </c>
      <c r="V49" s="186">
        <f t="shared" si="48"/>
        <v>17.20999023090587</v>
      </c>
      <c r="W49" s="186">
        <f t="shared" si="48"/>
        <v>15.798163410301964</v>
      </c>
      <c r="X49" s="186">
        <f t="shared" si="48"/>
        <v>14.386336589698058</v>
      </c>
      <c r="Y49" s="186">
        <f t="shared" si="48"/>
        <v>12.974509769094151</v>
      </c>
      <c r="Z49" s="186">
        <f t="shared" si="48"/>
        <v>11.562682948490245</v>
      </c>
      <c r="AA49" s="186">
        <f t="shared" si="48"/>
        <v>10.150856127886339</v>
      </c>
      <c r="AB49" s="186">
        <f t="shared" si="48"/>
        <v>21.445470692717588</v>
      </c>
      <c r="AC49" s="186">
        <f t="shared" si="48"/>
        <v>22.053092362344586</v>
      </c>
      <c r="AD49" s="186">
        <f t="shared" si="48"/>
        <v>22.660714031971583</v>
      </c>
      <c r="AE49" s="186">
        <f t="shared" si="48"/>
        <v>23.268335701598581</v>
      </c>
      <c r="AF49" s="186">
        <f t="shared" si="48"/>
        <v>23.875957371225578</v>
      </c>
      <c r="AG49" s="186">
        <f t="shared" si="48"/>
        <v>24.483579040852575</v>
      </c>
      <c r="AH49" s="186">
        <f t="shared" si="48"/>
        <v>25.091200710479573</v>
      </c>
      <c r="AI49" s="186">
        <f t="shared" si="48"/>
        <v>25.69882238010657</v>
      </c>
      <c r="AJ49" s="186">
        <f t="shared" si="48"/>
        <v>26.306444049733567</v>
      </c>
      <c r="AK49" s="186">
        <f t="shared" si="48"/>
        <v>26.914065719360565</v>
      </c>
      <c r="AL49" s="186">
        <f t="shared" si="48"/>
        <v>22.053092362344586</v>
      </c>
      <c r="AM49" s="215">
        <f t="shared" ref="AM49:AM50" si="49">(AL49+AN49)/2</f>
        <v>24.197639431616345</v>
      </c>
      <c r="AN49" s="186">
        <f t="shared" si="43"/>
        <v>26.342186500888104</v>
      </c>
      <c r="AO49" s="186">
        <f t="shared" si="43"/>
        <v>26.342186500888104</v>
      </c>
      <c r="AP49" s="186">
        <f>IF(AP$46=-1,AR49,IF(AP$46=99,AO49,IF(AP$46=0,INDEX($J23:$R23,0,AP$44),(INDEX($J23:$R23,0,AP$46+1)-INDEX($J23:$R23,0,AP$46))/(INDEX($J$4:$R$4,0,AP$46+1)-INDEX($J$4:$R$4,0,AP$46))+AO49)))</f>
        <v>26.342186500888104</v>
      </c>
    </row>
    <row r="50" spans="1:42" s="185" customFormat="1">
      <c r="A50" s="40"/>
      <c r="B50" s="123" t="str">
        <f t="shared" si="44"/>
        <v>COM_PROJ</v>
      </c>
      <c r="C50" s="124" t="str">
        <f t="shared" si="37"/>
        <v>-</v>
      </c>
      <c r="D50" s="57" t="str">
        <f t="shared" si="45"/>
        <v>TAOAG</v>
      </c>
      <c r="E50" s="124" t="str">
        <f t="shared" si="38"/>
        <v>-</v>
      </c>
      <c r="F50" s="124" t="str">
        <f t="shared" si="38"/>
        <v>-</v>
      </c>
      <c r="G50" s="124" t="str">
        <f t="shared" si="38"/>
        <v>-</v>
      </c>
      <c r="H50" s="124" t="str">
        <f t="shared" si="38"/>
        <v>-</v>
      </c>
      <c r="I50" s="125">
        <f t="shared" si="46"/>
        <v>0</v>
      </c>
      <c r="J50" s="186">
        <f t="shared" si="47"/>
        <v>1.0701311035156249</v>
      </c>
      <c r="K50" s="186">
        <f t="shared" ref="K50:AL50" si="50">IF(K$46=-1,L50,IF(K$46=99,J50,IF(K$46=0,INDEX($J24:$R24,0,K$44),(INDEX($J24:$R24,0,K$46+1)-INDEX($J24:$R24,0,K$46))/(INDEX($J$4:$R$4,0,K$46+1)-INDEX($J$4:$R$4,0,K$46))+J50)))</f>
        <v>1.0973754122492969</v>
      </c>
      <c r="L50" s="186">
        <f t="shared" si="50"/>
        <v>1.1246197209829689</v>
      </c>
      <c r="M50" s="186">
        <f t="shared" si="50"/>
        <v>1.1518640297166407</v>
      </c>
      <c r="N50" s="186">
        <f t="shared" si="50"/>
        <v>1.163268624070271</v>
      </c>
      <c r="O50" s="186">
        <f t="shared" si="50"/>
        <v>1.174673218423901</v>
      </c>
      <c r="P50" s="186">
        <f t="shared" si="50"/>
        <v>1.1951064499741548</v>
      </c>
      <c r="Q50" s="186">
        <f t="shared" si="50"/>
        <v>1.2155396815244086</v>
      </c>
      <c r="R50" s="186">
        <f t="shared" si="50"/>
        <v>1.2155396815244088</v>
      </c>
      <c r="S50" s="186">
        <f t="shared" si="50"/>
        <v>1.1404594353630106</v>
      </c>
      <c r="T50" s="186">
        <f t="shared" si="50"/>
        <v>1.0653791892016125</v>
      </c>
      <c r="U50" s="186">
        <f t="shared" si="50"/>
        <v>0.99029894304021426</v>
      </c>
      <c r="V50" s="186">
        <f t="shared" si="50"/>
        <v>0.91521869687881607</v>
      </c>
      <c r="W50" s="186">
        <f t="shared" si="50"/>
        <v>0.84013845071741788</v>
      </c>
      <c r="X50" s="186">
        <f t="shared" si="50"/>
        <v>0.76505820455601969</v>
      </c>
      <c r="Y50" s="186">
        <f t="shared" si="50"/>
        <v>0.6899779583946215</v>
      </c>
      <c r="Z50" s="186">
        <f t="shared" si="50"/>
        <v>0.61489771223322331</v>
      </c>
      <c r="AA50" s="186">
        <f t="shared" si="50"/>
        <v>0.53981746607182512</v>
      </c>
      <c r="AB50" s="186">
        <f t="shared" si="50"/>
        <v>1.1404594353630106</v>
      </c>
      <c r="AC50" s="186">
        <f t="shared" si="50"/>
        <v>1.1727724526982959</v>
      </c>
      <c r="AD50" s="186">
        <f t="shared" si="50"/>
        <v>1.2050854700335811</v>
      </c>
      <c r="AE50" s="186">
        <f t="shared" si="50"/>
        <v>1.2373984873688664</v>
      </c>
      <c r="AF50" s="186">
        <f t="shared" si="50"/>
        <v>1.2697115047041516</v>
      </c>
      <c r="AG50" s="186">
        <f t="shared" si="50"/>
        <v>1.3020245220394369</v>
      </c>
      <c r="AH50" s="186">
        <f t="shared" si="50"/>
        <v>1.3343375393747221</v>
      </c>
      <c r="AI50" s="186">
        <f t="shared" si="50"/>
        <v>1.3666505567100073</v>
      </c>
      <c r="AJ50" s="186">
        <f t="shared" si="50"/>
        <v>1.3989635740452926</v>
      </c>
      <c r="AK50" s="186">
        <f t="shared" si="50"/>
        <v>1.4312765913805778</v>
      </c>
      <c r="AL50" s="186">
        <f t="shared" si="50"/>
        <v>1.1727724526982959</v>
      </c>
      <c r="AM50" s="215">
        <f t="shared" si="49"/>
        <v>1.2868183962345969</v>
      </c>
      <c r="AN50" s="186">
        <f t="shared" si="43"/>
        <v>1.400864339770898</v>
      </c>
      <c r="AO50" s="186">
        <f t="shared" si="43"/>
        <v>1.400864339770898</v>
      </c>
      <c r="AP50" s="186">
        <f>IF(AP$46=-1,AR50,IF(AP$46=99,AO50,IF(AP$46=0,INDEX($J24:$R24,0,AP$44),(INDEX($J24:$R24,0,AP$46+1)-INDEX($J24:$R24,0,AP$46))/(INDEX($J$4:$R$4,0,AP$46+1)-INDEX($J$4:$R$4,0,AP$46))+AO50)))</f>
        <v>1.400864339770898</v>
      </c>
    </row>
    <row r="51" spans="1:42" s="185" customFormat="1">
      <c r="A51" s="40"/>
      <c r="B51" s="123" t="str">
        <f t="shared" si="36"/>
        <v>COM_PROJ</v>
      </c>
      <c r="C51" s="124" t="str">
        <f t="shared" si="37"/>
        <v>-</v>
      </c>
      <c r="D51" s="57" t="s">
        <v>158</v>
      </c>
      <c r="E51" s="124" t="str">
        <f t="shared" si="38"/>
        <v>-</v>
      </c>
      <c r="F51" s="124" t="str">
        <f t="shared" si="38"/>
        <v>-</v>
      </c>
      <c r="G51" s="124" t="str">
        <f t="shared" si="38"/>
        <v>-</v>
      </c>
      <c r="H51" s="124" t="str">
        <f t="shared" si="38"/>
        <v>-</v>
      </c>
      <c r="I51" s="125">
        <f t="shared" si="39"/>
        <v>0</v>
      </c>
      <c r="J51" s="186">
        <f>J36</f>
        <v>4.5090000000000003</v>
      </c>
      <c r="K51" s="186">
        <f t="shared" ref="K51:AL51" si="51">IF(K$46=-1,L51,IF(K$46=99,J51,IF(K$46=0,INDEX($J36:$R36,0,K$44),(INDEX($J36:$R36,0,K$46+1)-INDEX($J36:$R36,0,K$46))/(INDEX($J$4:$R$4,0,K$46+1)-INDEX($J$4:$R$4,0,K$46))+J51)))</f>
        <v>4.4958157894736841</v>
      </c>
      <c r="L51" s="186">
        <f t="shared" si="51"/>
        <v>4.4826315789473679</v>
      </c>
      <c r="M51" s="186">
        <f t="shared" si="51"/>
        <v>4.4694473684210525</v>
      </c>
      <c r="N51" s="186">
        <f t="shared" si="51"/>
        <v>4.4890306892105265</v>
      </c>
      <c r="O51" s="186">
        <f t="shared" si="51"/>
        <v>4.5086140100000014</v>
      </c>
      <c r="P51" s="186">
        <f t="shared" si="51"/>
        <v>4.4099254260526326</v>
      </c>
      <c r="Q51" s="186">
        <f t="shared" si="51"/>
        <v>4.3112368421052647</v>
      </c>
      <c r="R51" s="186">
        <f t="shared" si="51"/>
        <v>4.3112368421052647</v>
      </c>
      <c r="S51" s="186">
        <f t="shared" si="51"/>
        <v>3.9157105263157894</v>
      </c>
      <c r="T51" s="186">
        <f t="shared" si="51"/>
        <v>3.5201842105263141</v>
      </c>
      <c r="U51" s="186">
        <f t="shared" si="51"/>
        <v>3.1246578947368389</v>
      </c>
      <c r="V51" s="186">
        <f t="shared" si="51"/>
        <v>2.7291315789473636</v>
      </c>
      <c r="W51" s="186">
        <f t="shared" si="51"/>
        <v>2.3336052631578883</v>
      </c>
      <c r="X51" s="186">
        <f t="shared" si="51"/>
        <v>1.938078947368413</v>
      </c>
      <c r="Y51" s="186">
        <f t="shared" si="51"/>
        <v>1.5425526315789377</v>
      </c>
      <c r="Z51" s="186">
        <f t="shared" si="51"/>
        <v>1.1470263157894625</v>
      </c>
      <c r="AA51" s="186">
        <f t="shared" si="51"/>
        <v>0.75149999999998718</v>
      </c>
      <c r="AB51" s="186">
        <f t="shared" si="51"/>
        <v>3.9157105263157894</v>
      </c>
      <c r="AC51" s="186">
        <f t="shared" si="51"/>
        <v>3.8813285825217405</v>
      </c>
      <c r="AD51" s="186">
        <f t="shared" si="51"/>
        <v>3.8469466387276916</v>
      </c>
      <c r="AE51" s="186">
        <f t="shared" si="51"/>
        <v>3.8125646949336427</v>
      </c>
      <c r="AF51" s="186">
        <f t="shared" si="51"/>
        <v>3.7781827511395938</v>
      </c>
      <c r="AG51" s="186">
        <f t="shared" si="51"/>
        <v>3.7438008073455449</v>
      </c>
      <c r="AH51" s="186">
        <f t="shared" si="51"/>
        <v>3.709418863551496</v>
      </c>
      <c r="AI51" s="186">
        <f t="shared" si="51"/>
        <v>3.6750369197574471</v>
      </c>
      <c r="AJ51" s="186">
        <f t="shared" si="51"/>
        <v>3.6406549759633982</v>
      </c>
      <c r="AK51" s="186">
        <f t="shared" si="51"/>
        <v>3.6062730321693492</v>
      </c>
      <c r="AL51" s="186">
        <f t="shared" si="51"/>
        <v>3.8813285825217405</v>
      </c>
      <c r="AM51" s="215">
        <f t="shared" si="42"/>
        <v>4.2347169228398176</v>
      </c>
      <c r="AN51" s="186">
        <f>IF(AN$46=-1,AO51,IF(AN$46=99,AM51,IF(AN$46=0,INDEX($J36:$R36,0,AN$44),(INDEX($J36:$R36,0,AN$46+1)-INDEX($J36:$R36,0,AN$46))/(INDEX($J$4:$R$4,0,AN$46+1)-INDEX($J$4:$R$4,0,AN$46))+AM51)))</f>
        <v>4.5881052631578942</v>
      </c>
      <c r="AO51" s="186">
        <f>IF(AO$46=-1,AP51,IF(AO$46=99,AN51,IF(AO$46=0,INDEX($J36:$R36,0,AO$44),(INDEX($J36:$R36,0,AO$46+1)-INDEX($J36:$R36,0,AO$46))/(INDEX($J$4:$R$4,0,AO$46+1)-INDEX($J$4:$R$4,0,AO$46))+AN51)))</f>
        <v>4.5881052631578942</v>
      </c>
      <c r="AP51" s="186">
        <f>IF(AP$46=-1,AR51,IF(AP$46=99,AO51,IF(AP$46=0,INDEX($J36:$R36,0,AP$44),(INDEX($J36:$R36,0,AP$46+1)-INDEX($J36:$R36,0,AP$46))/(INDEX($J$4:$R$4,0,AP$46+1)-INDEX($J$4:$R$4,0,AP$46))+AO51)))</f>
        <v>4.5881052631578942</v>
      </c>
    </row>
  </sheetData>
  <mergeCells count="1">
    <mergeCell ref="B2:C2"/>
  </mergeCells>
  <hyperlinks>
    <hyperlink ref="B3" r:id="rId1" xr:uid="{81660256-68E2-4BAC-A233-DB61963DE1A7}"/>
  </hyperlinks>
  <pageMargins left="0.7" right="0.7" top="0.75" bottom="0.75" header="0.3" footer="0.3"/>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cp:lastModifiedBy>
  <dcterms:created xsi:type="dcterms:W3CDTF">2011-09-16T10:01:44Z</dcterms:created>
  <dcterms:modified xsi:type="dcterms:W3CDTF">2020-08-18T10:06:33Z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